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1203\"/>
    </mc:Choice>
  </mc:AlternateContent>
  <xr:revisionPtr revIDLastSave="0" documentId="8_{B80352E4-C091-4E08-9750-CBE1A73533ED}" xr6:coauthVersionLast="47" xr6:coauthVersionMax="47" xr10:uidLastSave="{00000000-0000-0000-0000-000000000000}"/>
  <bookViews>
    <workbookView xWindow="2685" yWindow="1725" windowWidth="21600" windowHeight="11385" tabRatio="896" firstSheet="2" activeTab="2" xr2:uid="{55094F58-06F1-427F-968B-981B33C39D43}"/>
  </bookViews>
  <sheets>
    <sheet name="Thôn bị mất ĐBKK" sheetId="15" state="hidden" r:id="rId1"/>
    <sheet name="Mẫu 5 xã I, II, III (2)" sheetId="13" state="hidden" r:id="rId2"/>
    <sheet name="DT" sheetId="17" r:id="rId3"/>
    <sheet name="Mẫu số 7 xã III, II, I" sheetId="10" state="hidden" r:id="rId4"/>
  </sheets>
  <definedNames>
    <definedName name="_xlnm._FilterDatabase" localSheetId="2" hidden="1">DT!$A$8:$C$54</definedName>
    <definedName name="_xlnm._FilterDatabase" localSheetId="1" hidden="1">'Mẫu 5 xã I, II, III (2)'!$A$6:$AJ$113</definedName>
    <definedName name="_xlnm._FilterDatabase" localSheetId="3" hidden="1">'Mẫu số 7 xã III, II, I'!$A$13:$J$112</definedName>
    <definedName name="_xlnm._FilterDatabase" localSheetId="0" hidden="1">'Thôn bị mất ĐBKK'!$A$21:$U$992</definedName>
    <definedName name="chuong_pl_4_name" localSheetId="0">#N/A</definedName>
    <definedName name="chuong_pl_5_name" localSheetId="1">#N/A</definedName>
    <definedName name="chuong_pl_7_name" localSheetId="2">#N/A</definedName>
    <definedName name="chuong_pl_7_name" localSheetId="3">#N/A</definedName>
    <definedName name="_xlnm.Print_Area" localSheetId="2">DT!$A$3:$C$54</definedName>
    <definedName name="_xlnm.Print_Area" localSheetId="1">#N/A</definedName>
    <definedName name="_xlnm.Print_Area" localSheetId="3">'Mẫu số 7 xã III, II, I'!$A$1:$G$112</definedName>
    <definedName name="_xlnm.Print_Area" localSheetId="0">'Thôn bị mất ĐBKK'!$A$1:$S$992</definedName>
    <definedName name="_xlnm.Print_Titles" localSheetId="2">DT!$6:$6</definedName>
    <definedName name="_xlnm.Print_Titles" localSheetId="1">#N/A</definedName>
    <definedName name="_xlnm.Print_Titles" localSheetId="3">'Mẫu số 7 xã III, II, I'!$5:$6</definedName>
    <definedName name="_xlnm.Print_Titles" localSheetId="0">'Thôn bị mất ĐBKK'!$3:$6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7" l="1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7" i="17"/>
  <c r="E7" i="17"/>
  <c r="F7" i="17"/>
  <c r="G7" i="17"/>
  <c r="H7" i="17"/>
  <c r="D7" i="17"/>
  <c r="D112" i="10"/>
  <c r="D111" i="10"/>
  <c r="D107" i="10"/>
  <c r="D106" i="10"/>
  <c r="D105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1" i="10"/>
  <c r="D60" i="10"/>
  <c r="D59" i="10"/>
  <c r="D58" i="10"/>
  <c r="D57" i="10"/>
  <c r="D56" i="10"/>
  <c r="D55" i="10"/>
  <c r="D54" i="10"/>
  <c r="D53" i="10"/>
  <c r="D52" i="10"/>
  <c r="D51" i="10"/>
  <c r="D49" i="10"/>
  <c r="D48" i="10"/>
  <c r="D47" i="10"/>
  <c r="D46" i="10"/>
  <c r="D45" i="10"/>
  <c r="D44" i="10"/>
  <c r="D43" i="10"/>
  <c r="D42" i="10"/>
  <c r="D41" i="10"/>
  <c r="D40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F8" i="10" l="1"/>
  <c r="E56" i="10" l="1"/>
  <c r="E57" i="10"/>
  <c r="AF53" i="13"/>
  <c r="AH53" i="13" s="1"/>
  <c r="AG37" i="13"/>
  <c r="AG105" i="13"/>
  <c r="AG104" i="13"/>
  <c r="AG103" i="13"/>
  <c r="AG102" i="13"/>
  <c r="AG101" i="13"/>
  <c r="AG100" i="13"/>
  <c r="AG99" i="13"/>
  <c r="AG98" i="13"/>
  <c r="AG97" i="13"/>
  <c r="AG96" i="13"/>
  <c r="AG95" i="13"/>
  <c r="AG94" i="13"/>
  <c r="AH94" i="13" s="1"/>
  <c r="AG93" i="13"/>
  <c r="AG92" i="13"/>
  <c r="AG91" i="13"/>
  <c r="AG90" i="13"/>
  <c r="AG89" i="13"/>
  <c r="AG88" i="13"/>
  <c r="AG87" i="13"/>
  <c r="AG86" i="13"/>
  <c r="AG85" i="13"/>
  <c r="AG84" i="13"/>
  <c r="AG83" i="13"/>
  <c r="AG82" i="13"/>
  <c r="AH82" i="13" s="1"/>
  <c r="AG81" i="13"/>
  <c r="AG80" i="13"/>
  <c r="AG79" i="13"/>
  <c r="AG78" i="13"/>
  <c r="AG77" i="13"/>
  <c r="AG76" i="13"/>
  <c r="AG75" i="13"/>
  <c r="AG74" i="13"/>
  <c r="AG73" i="13"/>
  <c r="AG72" i="13"/>
  <c r="AG71" i="13"/>
  <c r="AG70" i="13"/>
  <c r="AH70" i="13" s="1"/>
  <c r="AG69" i="13"/>
  <c r="AG68" i="13"/>
  <c r="AG67" i="13"/>
  <c r="AG66" i="13"/>
  <c r="AG65" i="13"/>
  <c r="AG64" i="13"/>
  <c r="AH64" i="13" s="1"/>
  <c r="AG63" i="13"/>
  <c r="AG62" i="13"/>
  <c r="AG61" i="13"/>
  <c r="AG60" i="13"/>
  <c r="AG59" i="13"/>
  <c r="AG58" i="13"/>
  <c r="AG57" i="13"/>
  <c r="AG56" i="13"/>
  <c r="AG55" i="13"/>
  <c r="AG54" i="13"/>
  <c r="AG53" i="13"/>
  <c r="AG48" i="13"/>
  <c r="AG47" i="13"/>
  <c r="AG46" i="13"/>
  <c r="AG45" i="13"/>
  <c r="AG44" i="13"/>
  <c r="AG43" i="13"/>
  <c r="AG42" i="13"/>
  <c r="AG41" i="13"/>
  <c r="AG40" i="13"/>
  <c r="AG39" i="13"/>
  <c r="AG38" i="13"/>
  <c r="AG36" i="13"/>
  <c r="AG35" i="13"/>
  <c r="AG34" i="13"/>
  <c r="AG33" i="13"/>
  <c r="AG32" i="13"/>
  <c r="AG31" i="13"/>
  <c r="AG30" i="13"/>
  <c r="AH30" i="13" s="1"/>
  <c r="AG29" i="13"/>
  <c r="AH29" i="13" s="1"/>
  <c r="AG28" i="13"/>
  <c r="AG27" i="13"/>
  <c r="AG26" i="13"/>
  <c r="AG25" i="13"/>
  <c r="AG24" i="13"/>
  <c r="AG23" i="13"/>
  <c r="AG22" i="13"/>
  <c r="AG21" i="13"/>
  <c r="AG20" i="13"/>
  <c r="AG19" i="13"/>
  <c r="AG18" i="13"/>
  <c r="AG17" i="13"/>
  <c r="AG16" i="13"/>
  <c r="AG15" i="13"/>
  <c r="AG14" i="13"/>
  <c r="AG13" i="13"/>
  <c r="AG12" i="13"/>
  <c r="AG11" i="13"/>
  <c r="AG10" i="13"/>
  <c r="AG9" i="13"/>
  <c r="AG8" i="13"/>
  <c r="AG7" i="13"/>
  <c r="AH17" i="13"/>
  <c r="AF8" i="13"/>
  <c r="AH8" i="13" s="1"/>
  <c r="AF9" i="13"/>
  <c r="AF10" i="13"/>
  <c r="AF11" i="13"/>
  <c r="AF12" i="13"/>
  <c r="AF13" i="13"/>
  <c r="AH13" i="13" s="1"/>
  <c r="AF14" i="13"/>
  <c r="AH14" i="13" s="1"/>
  <c r="AF15" i="13"/>
  <c r="AF16" i="13"/>
  <c r="AF17" i="13"/>
  <c r="AF18" i="13"/>
  <c r="AF19" i="13"/>
  <c r="AH19" i="13" s="1"/>
  <c r="AF20" i="13"/>
  <c r="AH20" i="13" s="1"/>
  <c r="AF21" i="13"/>
  <c r="AF22" i="13"/>
  <c r="AF23" i="13"/>
  <c r="AF24" i="13"/>
  <c r="AH24" i="13" s="1"/>
  <c r="AF25" i="13"/>
  <c r="AF26" i="13"/>
  <c r="AH26" i="13" s="1"/>
  <c r="AF27" i="13"/>
  <c r="AF28" i="13"/>
  <c r="AF29" i="13"/>
  <c r="AF30" i="13"/>
  <c r="AF31" i="13"/>
  <c r="AF32" i="13"/>
  <c r="AH32" i="13" s="1"/>
  <c r="AF33" i="13"/>
  <c r="AF34" i="13"/>
  <c r="AF35" i="13"/>
  <c r="AH35" i="13" s="1"/>
  <c r="AF36" i="13"/>
  <c r="AH36" i="13" s="1"/>
  <c r="AF37" i="13"/>
  <c r="AH37" i="13" s="1"/>
  <c r="AF38" i="13"/>
  <c r="AH38" i="13" s="1"/>
  <c r="AF39" i="13"/>
  <c r="AH39" i="13" s="1"/>
  <c r="AF40" i="13"/>
  <c r="AF41" i="13"/>
  <c r="AF42" i="13"/>
  <c r="AF43" i="13"/>
  <c r="AH43" i="13" s="1"/>
  <c r="AF44" i="13"/>
  <c r="AH44" i="13" s="1"/>
  <c r="AF45" i="13"/>
  <c r="AF46" i="13"/>
  <c r="AF47" i="13"/>
  <c r="AH47" i="13" s="1"/>
  <c r="AF48" i="13"/>
  <c r="AF54" i="13"/>
  <c r="AF55" i="13"/>
  <c r="AH55" i="13" s="1"/>
  <c r="AF56" i="13"/>
  <c r="AF57" i="13"/>
  <c r="AF58" i="13"/>
  <c r="AH58" i="13" s="1"/>
  <c r="AF59" i="13"/>
  <c r="AF60" i="13"/>
  <c r="AH60" i="13" s="1"/>
  <c r="AF61" i="13"/>
  <c r="AH61" i="13" s="1"/>
  <c r="AF62" i="13"/>
  <c r="AF63" i="13"/>
  <c r="AH63" i="13" s="1"/>
  <c r="AF64" i="13"/>
  <c r="AF65" i="13"/>
  <c r="AF66" i="13"/>
  <c r="AH66" i="13" s="1"/>
  <c r="AF67" i="13"/>
  <c r="AH67" i="13" s="1"/>
  <c r="AF68" i="13"/>
  <c r="AF69" i="13"/>
  <c r="AF70" i="13"/>
  <c r="AF71" i="13"/>
  <c r="AF72" i="13"/>
  <c r="AH72" i="13" s="1"/>
  <c r="AF73" i="13"/>
  <c r="AH73" i="13" s="1"/>
  <c r="AF74" i="13"/>
  <c r="AF75" i="13"/>
  <c r="AH75" i="13" s="1"/>
  <c r="AF76" i="13"/>
  <c r="AH76" i="13" s="1"/>
  <c r="AF77" i="13"/>
  <c r="AH77" i="13" s="1"/>
  <c r="AF78" i="13"/>
  <c r="AF79" i="13"/>
  <c r="AH79" i="13" s="1"/>
  <c r="AF80" i="13"/>
  <c r="AF81" i="13"/>
  <c r="AF82" i="13"/>
  <c r="AF83" i="13"/>
  <c r="AF84" i="13"/>
  <c r="AF85" i="13"/>
  <c r="AF86" i="13"/>
  <c r="AF87" i="13"/>
  <c r="AH87" i="13" s="1"/>
  <c r="AF88" i="13"/>
  <c r="AH88" i="13" s="1"/>
  <c r="AF89" i="13"/>
  <c r="AH89" i="13" s="1"/>
  <c r="AF90" i="13"/>
  <c r="AH90" i="13" s="1"/>
  <c r="AF91" i="13"/>
  <c r="AH91" i="13" s="1"/>
  <c r="AF92" i="13"/>
  <c r="AF93" i="13"/>
  <c r="AF94" i="13"/>
  <c r="AF95" i="13"/>
  <c r="AF96" i="13"/>
  <c r="AH96" i="13" s="1"/>
  <c r="AF97" i="13"/>
  <c r="AH97" i="13" s="1"/>
  <c r="AF98" i="13"/>
  <c r="AF99" i="13"/>
  <c r="AH99" i="13" s="1"/>
  <c r="AF100" i="13"/>
  <c r="AF101" i="13"/>
  <c r="AF102" i="13"/>
  <c r="AF103" i="13"/>
  <c r="AH103" i="13" s="1"/>
  <c r="AF104" i="13"/>
  <c r="AF105" i="13"/>
  <c r="AF7" i="13"/>
  <c r="AH7" i="13" s="1"/>
  <c r="AH9" i="13"/>
  <c r="AH12" i="13"/>
  <c r="AH16" i="13"/>
  <c r="AH18" i="13"/>
  <c r="AH21" i="13"/>
  <c r="AH22" i="13"/>
  <c r="AH28" i="13"/>
  <c r="AH33" i="13"/>
  <c r="AH34" i="13"/>
  <c r="AH40" i="13"/>
  <c r="AH42" i="13"/>
  <c r="AH45" i="13"/>
  <c r="AH46" i="13"/>
  <c r="AH48" i="13"/>
  <c r="AH54" i="13"/>
  <c r="AH56" i="13"/>
  <c r="AH57" i="13"/>
  <c r="AH65" i="13"/>
  <c r="AH69" i="13"/>
  <c r="AH74" i="13"/>
  <c r="AH80" i="13"/>
  <c r="AH81" i="13"/>
  <c r="AH85" i="13"/>
  <c r="AH86" i="13"/>
  <c r="AH92" i="13"/>
  <c r="AH93" i="13"/>
  <c r="AH98" i="13"/>
  <c r="AH100" i="13"/>
  <c r="AH101" i="13"/>
  <c r="AH102" i="13"/>
  <c r="AH104" i="13"/>
  <c r="AH105" i="13"/>
  <c r="AH83" i="13" l="1"/>
  <c r="AH59" i="13"/>
  <c r="AH25" i="13"/>
  <c r="AH78" i="13"/>
  <c r="AH84" i="13"/>
  <c r="AH95" i="13"/>
  <c r="AH10" i="13"/>
  <c r="AH62" i="13"/>
  <c r="AH68" i="13"/>
  <c r="AH71" i="13"/>
  <c r="AH41" i="13"/>
  <c r="E100" i="10"/>
  <c r="E80" i="10"/>
  <c r="E53" i="10"/>
  <c r="E41" i="10"/>
  <c r="E37" i="10"/>
  <c r="E67" i="10"/>
  <c r="E58" i="10"/>
  <c r="E36" i="10"/>
  <c r="E44" i="10"/>
  <c r="E70" i="10"/>
  <c r="E66" i="10"/>
  <c r="E35" i="10"/>
  <c r="E31" i="10"/>
  <c r="E19" i="10"/>
  <c r="E97" i="10"/>
  <c r="E93" i="10"/>
  <c r="E85" i="10"/>
  <c r="E74" i="10"/>
  <c r="E50" i="10"/>
  <c r="E22" i="10"/>
  <c r="E34" i="10"/>
  <c r="E24" i="10"/>
  <c r="E38" i="10"/>
  <c r="E52" i="10"/>
  <c r="E20" i="10"/>
  <c r="E39" i="10"/>
  <c r="E106" i="10"/>
  <c r="E109" i="10"/>
  <c r="E105" i="10"/>
  <c r="E15" i="10"/>
  <c r="E108" i="10"/>
  <c r="E104" i="10"/>
  <c r="E96" i="10"/>
  <c r="E92" i="10"/>
  <c r="E88" i="10"/>
  <c r="E84" i="10"/>
  <c r="E76" i="10"/>
  <c r="E72" i="10"/>
  <c r="E64" i="10"/>
  <c r="E45" i="10"/>
  <c r="E33" i="10"/>
  <c r="E21" i="10"/>
  <c r="E14" i="10"/>
  <c r="E86" i="10"/>
  <c r="E47" i="10"/>
  <c r="E27" i="10"/>
  <c r="E107" i="10"/>
  <c r="E48" i="10"/>
  <c r="E110" i="10"/>
  <c r="E98" i="10"/>
  <c r="E82" i="10"/>
  <c r="E60" i="10"/>
  <c r="E77" i="10"/>
  <c r="E65" i="10"/>
  <c r="E54" i="10"/>
  <c r="E46" i="10"/>
  <c r="E42" i="10"/>
  <c r="E30" i="10"/>
  <c r="E26" i="10"/>
  <c r="E89" i="10"/>
  <c r="E94" i="10"/>
  <c r="AH31" i="13"/>
  <c r="AH27" i="13"/>
  <c r="AH23" i="13"/>
  <c r="AH15" i="13"/>
  <c r="AH11" i="13"/>
  <c r="L431" i="15"/>
  <c r="Q431" i="15" s="1"/>
  <c r="R431" i="15" s="1"/>
  <c r="D431" i="15"/>
  <c r="I431" i="15" s="1"/>
  <c r="J431" i="15" s="1"/>
  <c r="Q430" i="15"/>
  <c r="R430" i="15" s="1"/>
  <c r="L430" i="15"/>
  <c r="D430" i="15"/>
  <c r="I430" i="15" s="1"/>
  <c r="J430" i="15" s="1"/>
  <c r="L429" i="15"/>
  <c r="Q429" i="15" s="1"/>
  <c r="R429" i="15" s="1"/>
  <c r="D429" i="15"/>
  <c r="I429" i="15" s="1"/>
  <c r="J429" i="15" s="1"/>
  <c r="Q428" i="15"/>
  <c r="R428" i="15" s="1"/>
  <c r="L428" i="15"/>
  <c r="D428" i="15"/>
  <c r="I428" i="15" s="1"/>
  <c r="J428" i="15" s="1"/>
  <c r="U428" i="15" s="1"/>
  <c r="L427" i="15"/>
  <c r="Q427" i="15" s="1"/>
  <c r="R427" i="15" s="1"/>
  <c r="D427" i="15"/>
  <c r="I427" i="15" s="1"/>
  <c r="J427" i="15" s="1"/>
  <c r="Q426" i="15"/>
  <c r="R426" i="15" s="1"/>
  <c r="L426" i="15"/>
  <c r="D426" i="15"/>
  <c r="I426" i="15" s="1"/>
  <c r="J426" i="15" s="1"/>
  <c r="U426" i="15" s="1"/>
  <c r="L425" i="15"/>
  <c r="Q425" i="15" s="1"/>
  <c r="R425" i="15" s="1"/>
  <c r="D425" i="15"/>
  <c r="I425" i="15" s="1"/>
  <c r="J425" i="15" s="1"/>
  <c r="Q424" i="15"/>
  <c r="R424" i="15" s="1"/>
  <c r="L424" i="15"/>
  <c r="D424" i="15"/>
  <c r="I424" i="15" s="1"/>
  <c r="J424" i="15" s="1"/>
  <c r="U424" i="15" s="1"/>
  <c r="L423" i="15"/>
  <c r="Q423" i="15" s="1"/>
  <c r="R423" i="15" s="1"/>
  <c r="D423" i="15"/>
  <c r="I423" i="15" s="1"/>
  <c r="J423" i="15" s="1"/>
  <c r="Q422" i="15"/>
  <c r="R422" i="15" s="1"/>
  <c r="L422" i="15"/>
  <c r="D422" i="15"/>
  <c r="I422" i="15" s="1"/>
  <c r="J422" i="15" s="1"/>
  <c r="U422" i="15" s="1"/>
  <c r="L421" i="15"/>
  <c r="Q421" i="15" s="1"/>
  <c r="R421" i="15" s="1"/>
  <c r="D421" i="15"/>
  <c r="I421" i="15" s="1"/>
  <c r="J421" i="15" s="1"/>
  <c r="Q420" i="15"/>
  <c r="R420" i="15" s="1"/>
  <c r="L420" i="15"/>
  <c r="D420" i="15"/>
  <c r="I420" i="15" s="1"/>
  <c r="J420" i="15" s="1"/>
  <c r="U420" i="15" s="1"/>
  <c r="L419" i="15"/>
  <c r="Q419" i="15" s="1"/>
  <c r="R419" i="15" s="1"/>
  <c r="D419" i="15"/>
  <c r="I419" i="15" s="1"/>
  <c r="J419" i="15" s="1"/>
  <c r="Q418" i="15"/>
  <c r="R418" i="15" s="1"/>
  <c r="L418" i="15"/>
  <c r="D418" i="15"/>
  <c r="I418" i="15" s="1"/>
  <c r="J418" i="15" s="1"/>
  <c r="U418" i="15" s="1"/>
  <c r="L417" i="15"/>
  <c r="Q417" i="15" s="1"/>
  <c r="R417" i="15" s="1"/>
  <c r="D417" i="15"/>
  <c r="I417" i="15" s="1"/>
  <c r="J417" i="15" s="1"/>
  <c r="Q416" i="15"/>
  <c r="R416" i="15" s="1"/>
  <c r="L416" i="15"/>
  <c r="D416" i="15"/>
  <c r="I416" i="15" s="1"/>
  <c r="J416" i="15" s="1"/>
  <c r="U416" i="15" s="1"/>
  <c r="L415" i="15"/>
  <c r="Q415" i="15" s="1"/>
  <c r="R415" i="15" s="1"/>
  <c r="D415" i="15"/>
  <c r="I415" i="15" s="1"/>
  <c r="J415" i="15" s="1"/>
  <c r="Q414" i="15"/>
  <c r="R414" i="15" s="1"/>
  <c r="L414" i="15"/>
  <c r="D414" i="15"/>
  <c r="I414" i="15" s="1"/>
  <c r="J414" i="15" s="1"/>
  <c r="U414" i="15" s="1"/>
  <c r="L413" i="15"/>
  <c r="Q413" i="15" s="1"/>
  <c r="R413" i="15" s="1"/>
  <c r="D413" i="15"/>
  <c r="I413" i="15" s="1"/>
  <c r="J413" i="15" s="1"/>
  <c r="Q412" i="15"/>
  <c r="R412" i="15" s="1"/>
  <c r="L412" i="15"/>
  <c r="D412" i="15"/>
  <c r="I412" i="15" s="1"/>
  <c r="J412" i="15" s="1"/>
  <c r="U412" i="15" s="1"/>
  <c r="L411" i="15"/>
  <c r="Q411" i="15" s="1"/>
  <c r="R411" i="15" s="1"/>
  <c r="D411" i="15"/>
  <c r="I411" i="15" s="1"/>
  <c r="J411" i="15" s="1"/>
  <c r="Q410" i="15"/>
  <c r="R410" i="15" s="1"/>
  <c r="L410" i="15"/>
  <c r="D410" i="15"/>
  <c r="I410" i="15" s="1"/>
  <c r="J410" i="15" s="1"/>
  <c r="U410" i="15" s="1"/>
  <c r="L409" i="15"/>
  <c r="Q409" i="15" s="1"/>
  <c r="R409" i="15" s="1"/>
  <c r="D409" i="15"/>
  <c r="I409" i="15" s="1"/>
  <c r="J409" i="15" s="1"/>
  <c r="Q408" i="15"/>
  <c r="R408" i="15" s="1"/>
  <c r="L408" i="15"/>
  <c r="D408" i="15"/>
  <c r="I408" i="15" s="1"/>
  <c r="J408" i="15" s="1"/>
  <c r="U408" i="15" s="1"/>
  <c r="L407" i="15"/>
  <c r="Q407" i="15" s="1"/>
  <c r="R407" i="15" s="1"/>
  <c r="D407" i="15"/>
  <c r="I407" i="15" s="1"/>
  <c r="J407" i="15" s="1"/>
  <c r="Q406" i="15"/>
  <c r="R406" i="15" s="1"/>
  <c r="L406" i="15"/>
  <c r="D406" i="15"/>
  <c r="I406" i="15" s="1"/>
  <c r="J406" i="15" s="1"/>
  <c r="U406" i="15" s="1"/>
  <c r="L405" i="15"/>
  <c r="Q405" i="15" s="1"/>
  <c r="R405" i="15" s="1"/>
  <c r="D405" i="15"/>
  <c r="I405" i="15" s="1"/>
  <c r="J405" i="15" s="1"/>
  <c r="Q404" i="15"/>
  <c r="R404" i="15" s="1"/>
  <c r="L404" i="15"/>
  <c r="D404" i="15"/>
  <c r="I404" i="15" s="1"/>
  <c r="J404" i="15" s="1"/>
  <c r="U404" i="15" s="1"/>
  <c r="L403" i="15"/>
  <c r="Q403" i="15" s="1"/>
  <c r="R403" i="15" s="1"/>
  <c r="D403" i="15"/>
  <c r="I403" i="15" s="1"/>
  <c r="J403" i="15" s="1"/>
  <c r="Q402" i="15"/>
  <c r="R402" i="15" s="1"/>
  <c r="L402" i="15"/>
  <c r="D402" i="15"/>
  <c r="I402" i="15" s="1"/>
  <c r="J402" i="15" s="1"/>
  <c r="U402" i="15" s="1"/>
  <c r="L401" i="15"/>
  <c r="Q401" i="15" s="1"/>
  <c r="R401" i="15" s="1"/>
  <c r="D401" i="15"/>
  <c r="I401" i="15" s="1"/>
  <c r="J401" i="15" s="1"/>
  <c r="Q400" i="15"/>
  <c r="R400" i="15" s="1"/>
  <c r="L400" i="15"/>
  <c r="D400" i="15"/>
  <c r="I400" i="15" s="1"/>
  <c r="J400" i="15" s="1"/>
  <c r="U400" i="15" s="1"/>
  <c r="L399" i="15"/>
  <c r="Q399" i="15" s="1"/>
  <c r="R399" i="15" s="1"/>
  <c r="D399" i="15"/>
  <c r="I399" i="15" s="1"/>
  <c r="J399" i="15" s="1"/>
  <c r="U398" i="15"/>
  <c r="L398" i="15"/>
  <c r="L194" i="15"/>
  <c r="Q194" i="15" s="1"/>
  <c r="R194" i="15" s="1"/>
  <c r="D194" i="15"/>
  <c r="I194" i="15" s="1"/>
  <c r="J194" i="15" s="1"/>
  <c r="L193" i="15"/>
  <c r="Q193" i="15" s="1"/>
  <c r="R193" i="15" s="1"/>
  <c r="D193" i="15"/>
  <c r="I193" i="15" s="1"/>
  <c r="J193" i="15" s="1"/>
  <c r="L192" i="15"/>
  <c r="Q192" i="15" s="1"/>
  <c r="R192" i="15" s="1"/>
  <c r="D192" i="15"/>
  <c r="I192" i="15" s="1"/>
  <c r="J192" i="15" s="1"/>
  <c r="L191" i="15"/>
  <c r="Q191" i="15" s="1"/>
  <c r="R191" i="15" s="1"/>
  <c r="D191" i="15"/>
  <c r="I191" i="15" s="1"/>
  <c r="J191" i="15" s="1"/>
  <c r="L190" i="15"/>
  <c r="Q190" i="15" s="1"/>
  <c r="R190" i="15" s="1"/>
  <c r="D190" i="15"/>
  <c r="I190" i="15" s="1"/>
  <c r="J190" i="15" s="1"/>
  <c r="L189" i="15"/>
  <c r="Q189" i="15" s="1"/>
  <c r="R189" i="15" s="1"/>
  <c r="D189" i="15"/>
  <c r="I189" i="15" s="1"/>
  <c r="J189" i="15" s="1"/>
  <c r="L188" i="15"/>
  <c r="Q188" i="15" s="1"/>
  <c r="R188" i="15" s="1"/>
  <c r="D188" i="15"/>
  <c r="I188" i="15" s="1"/>
  <c r="J188" i="15" s="1"/>
  <c r="L187" i="15"/>
  <c r="Q187" i="15" s="1"/>
  <c r="R187" i="15" s="1"/>
  <c r="D187" i="15"/>
  <c r="I187" i="15" s="1"/>
  <c r="J187" i="15" s="1"/>
  <c r="L186" i="15"/>
  <c r="Q186" i="15" s="1"/>
  <c r="R186" i="15" s="1"/>
  <c r="D186" i="15"/>
  <c r="I186" i="15" s="1"/>
  <c r="J186" i="15" s="1"/>
  <c r="L185" i="15"/>
  <c r="Q185" i="15" s="1"/>
  <c r="R185" i="15" s="1"/>
  <c r="D185" i="15"/>
  <c r="I185" i="15" s="1"/>
  <c r="J185" i="15" s="1"/>
  <c r="L184" i="15"/>
  <c r="Q184" i="15" s="1"/>
  <c r="R184" i="15" s="1"/>
  <c r="D184" i="15"/>
  <c r="I184" i="15" s="1"/>
  <c r="J184" i="15" s="1"/>
  <c r="L183" i="15"/>
  <c r="Q183" i="15" s="1"/>
  <c r="R183" i="15" s="1"/>
  <c r="D183" i="15"/>
  <c r="I183" i="15" s="1"/>
  <c r="J183" i="15" s="1"/>
  <c r="L182" i="15"/>
  <c r="Q182" i="15" s="1"/>
  <c r="R182" i="15" s="1"/>
  <c r="D182" i="15"/>
  <c r="I182" i="15" s="1"/>
  <c r="J182" i="15" s="1"/>
  <c r="L181" i="15"/>
  <c r="Q181" i="15" s="1"/>
  <c r="R181" i="15" s="1"/>
  <c r="D181" i="15"/>
  <c r="I181" i="15" s="1"/>
  <c r="J181" i="15" s="1"/>
  <c r="L180" i="15"/>
  <c r="Q180" i="15" s="1"/>
  <c r="R180" i="15" s="1"/>
  <c r="D180" i="15"/>
  <c r="I180" i="15" s="1"/>
  <c r="J180" i="15" s="1"/>
  <c r="L179" i="15"/>
  <c r="Q179" i="15" s="1"/>
  <c r="R179" i="15" s="1"/>
  <c r="D179" i="15"/>
  <c r="I179" i="15" s="1"/>
  <c r="J179" i="15" s="1"/>
  <c r="L178" i="15"/>
  <c r="Q178" i="15" s="1"/>
  <c r="R178" i="15" s="1"/>
  <c r="D178" i="15"/>
  <c r="I178" i="15" s="1"/>
  <c r="J178" i="15" s="1"/>
  <c r="L177" i="15"/>
  <c r="Q177" i="15" s="1"/>
  <c r="R177" i="15" s="1"/>
  <c r="D177" i="15"/>
  <c r="I177" i="15" s="1"/>
  <c r="J177" i="15" s="1"/>
  <c r="L176" i="15"/>
  <c r="Q176" i="15" s="1"/>
  <c r="R176" i="15" s="1"/>
  <c r="D176" i="15"/>
  <c r="I176" i="15" s="1"/>
  <c r="J176" i="15" s="1"/>
  <c r="L175" i="15"/>
  <c r="Q175" i="15" s="1"/>
  <c r="R175" i="15" s="1"/>
  <c r="D175" i="15"/>
  <c r="I175" i="15" s="1"/>
  <c r="J175" i="15" s="1"/>
  <c r="L174" i="15"/>
  <c r="Q174" i="15" s="1"/>
  <c r="R174" i="15" s="1"/>
  <c r="D174" i="15"/>
  <c r="I174" i="15" s="1"/>
  <c r="J174" i="15" s="1"/>
  <c r="L173" i="15"/>
  <c r="Q173" i="15" s="1"/>
  <c r="R173" i="15" s="1"/>
  <c r="D173" i="15"/>
  <c r="I173" i="15" s="1"/>
  <c r="J173" i="15" s="1"/>
  <c r="L172" i="15"/>
  <c r="Q172" i="15" s="1"/>
  <c r="R172" i="15" s="1"/>
  <c r="D172" i="15"/>
  <c r="I172" i="15" s="1"/>
  <c r="J172" i="15" s="1"/>
  <c r="L171" i="15"/>
  <c r="Q171" i="15" s="1"/>
  <c r="R171" i="15" s="1"/>
  <c r="D171" i="15"/>
  <c r="I171" i="15" s="1"/>
  <c r="J171" i="15" s="1"/>
  <c r="L170" i="15"/>
  <c r="Q170" i="15" s="1"/>
  <c r="R170" i="15" s="1"/>
  <c r="D170" i="15"/>
  <c r="I170" i="15" s="1"/>
  <c r="J170" i="15" s="1"/>
  <c r="L169" i="15"/>
  <c r="Q169" i="15" s="1"/>
  <c r="R169" i="15" s="1"/>
  <c r="D169" i="15"/>
  <c r="I169" i="15" s="1"/>
  <c r="J169" i="15" s="1"/>
  <c r="L168" i="15"/>
  <c r="Q168" i="15" s="1"/>
  <c r="R168" i="15" s="1"/>
  <c r="D168" i="15"/>
  <c r="I168" i="15" s="1"/>
  <c r="J168" i="15" s="1"/>
  <c r="L167" i="15"/>
  <c r="Q167" i="15" s="1"/>
  <c r="R167" i="15" s="1"/>
  <c r="D167" i="15"/>
  <c r="I167" i="15" s="1"/>
  <c r="J167" i="15" s="1"/>
  <c r="L166" i="15"/>
  <c r="Q166" i="15" s="1"/>
  <c r="R166" i="15" s="1"/>
  <c r="D166" i="15"/>
  <c r="I166" i="15" s="1"/>
  <c r="J166" i="15" s="1"/>
  <c r="L20" i="15"/>
  <c r="Q20" i="15" s="1"/>
  <c r="R20" i="15" s="1"/>
  <c r="D20" i="15"/>
  <c r="I20" i="15" s="1"/>
  <c r="J20" i="15" s="1"/>
  <c r="L19" i="15"/>
  <c r="Q19" i="15" s="1"/>
  <c r="R19" i="15" s="1"/>
  <c r="D19" i="15"/>
  <c r="I19" i="15" s="1"/>
  <c r="J19" i="15" s="1"/>
  <c r="L18" i="15"/>
  <c r="Q18" i="15" s="1"/>
  <c r="R18" i="15" s="1"/>
  <c r="D18" i="15"/>
  <c r="I18" i="15" s="1"/>
  <c r="J18" i="15" s="1"/>
  <c r="Q17" i="15"/>
  <c r="R17" i="15" s="1"/>
  <c r="L17" i="15"/>
  <c r="D17" i="15"/>
  <c r="I17" i="15" s="1"/>
  <c r="J17" i="15" s="1"/>
  <c r="L16" i="15"/>
  <c r="Q16" i="15" s="1"/>
  <c r="R16" i="15" s="1"/>
  <c r="D16" i="15"/>
  <c r="I16" i="15" s="1"/>
  <c r="J16" i="15" s="1"/>
  <c r="L15" i="15"/>
  <c r="Q15" i="15" s="1"/>
  <c r="R15" i="15" s="1"/>
  <c r="D15" i="15"/>
  <c r="I15" i="15" s="1"/>
  <c r="J15" i="15" s="1"/>
  <c r="L14" i="15"/>
  <c r="Q14" i="15" s="1"/>
  <c r="R14" i="15" s="1"/>
  <c r="D14" i="15"/>
  <c r="I14" i="15" s="1"/>
  <c r="J14" i="15" s="1"/>
  <c r="L13" i="15"/>
  <c r="Q13" i="15" s="1"/>
  <c r="R13" i="15" s="1"/>
  <c r="D13" i="15"/>
  <c r="I13" i="15" s="1"/>
  <c r="J13" i="15" s="1"/>
  <c r="L12" i="15"/>
  <c r="Q12" i="15" s="1"/>
  <c r="R12" i="15" s="1"/>
  <c r="D12" i="15"/>
  <c r="I12" i="15" s="1"/>
  <c r="J12" i="15" s="1"/>
  <c r="L11" i="15"/>
  <c r="Q11" i="15" s="1"/>
  <c r="R11" i="15" s="1"/>
  <c r="D11" i="15"/>
  <c r="I11" i="15" s="1"/>
  <c r="J11" i="15" s="1"/>
  <c r="L10" i="15"/>
  <c r="Q10" i="15" s="1"/>
  <c r="R10" i="15" s="1"/>
  <c r="D10" i="15"/>
  <c r="I10" i="15" s="1"/>
  <c r="J10" i="15" s="1"/>
  <c r="L9" i="15"/>
  <c r="Q9" i="15" s="1"/>
  <c r="R9" i="15" s="1"/>
  <c r="D9" i="15"/>
  <c r="I9" i="15" s="1"/>
  <c r="J9" i="15" s="1"/>
  <c r="L8" i="15"/>
  <c r="Q8" i="15" s="1"/>
  <c r="R8" i="15" s="1"/>
  <c r="D8" i="15"/>
  <c r="I8" i="15" s="1"/>
  <c r="J8" i="15" s="1"/>
  <c r="L948" i="15"/>
  <c r="L992" i="15"/>
  <c r="Q992" i="15" s="1"/>
  <c r="R992" i="15" s="1"/>
  <c r="D992" i="15"/>
  <c r="I992" i="15" s="1"/>
  <c r="J992" i="15" s="1"/>
  <c r="L991" i="15"/>
  <c r="Q991" i="15" s="1"/>
  <c r="R991" i="15" s="1"/>
  <c r="D991" i="15"/>
  <c r="I991" i="15" s="1"/>
  <c r="J991" i="15" s="1"/>
  <c r="L990" i="15"/>
  <c r="Q990" i="15" s="1"/>
  <c r="R990" i="15" s="1"/>
  <c r="D990" i="15"/>
  <c r="I990" i="15" s="1"/>
  <c r="J990" i="15" s="1"/>
  <c r="L989" i="15"/>
  <c r="Q989" i="15" s="1"/>
  <c r="R989" i="15" s="1"/>
  <c r="D989" i="15"/>
  <c r="I989" i="15" s="1"/>
  <c r="J989" i="15" s="1"/>
  <c r="L988" i="15"/>
  <c r="Q988" i="15" s="1"/>
  <c r="R988" i="15" s="1"/>
  <c r="D988" i="15"/>
  <c r="I988" i="15" s="1"/>
  <c r="J988" i="15" s="1"/>
  <c r="L987" i="15"/>
  <c r="Q987" i="15" s="1"/>
  <c r="R987" i="15" s="1"/>
  <c r="D987" i="15"/>
  <c r="I987" i="15" s="1"/>
  <c r="J987" i="15" s="1"/>
  <c r="L986" i="15"/>
  <c r="Q986" i="15" s="1"/>
  <c r="R986" i="15" s="1"/>
  <c r="D986" i="15"/>
  <c r="I986" i="15" s="1"/>
  <c r="J986" i="15" s="1"/>
  <c r="L985" i="15"/>
  <c r="Q985" i="15" s="1"/>
  <c r="R985" i="15" s="1"/>
  <c r="D985" i="15"/>
  <c r="I985" i="15" s="1"/>
  <c r="J985" i="15" s="1"/>
  <c r="L984" i="15"/>
  <c r="Q984" i="15" s="1"/>
  <c r="R984" i="15" s="1"/>
  <c r="D984" i="15"/>
  <c r="I984" i="15" s="1"/>
  <c r="J984" i="15" s="1"/>
  <c r="L983" i="15"/>
  <c r="Q983" i="15" s="1"/>
  <c r="R983" i="15" s="1"/>
  <c r="D983" i="15"/>
  <c r="I983" i="15" s="1"/>
  <c r="J983" i="15" s="1"/>
  <c r="L982" i="15"/>
  <c r="Q982" i="15" s="1"/>
  <c r="R982" i="15" s="1"/>
  <c r="D982" i="15"/>
  <c r="I982" i="15" s="1"/>
  <c r="J982" i="15" s="1"/>
  <c r="L981" i="15"/>
  <c r="Q981" i="15" s="1"/>
  <c r="R981" i="15" s="1"/>
  <c r="D981" i="15"/>
  <c r="I981" i="15" s="1"/>
  <c r="J981" i="15" s="1"/>
  <c r="L980" i="15"/>
  <c r="Q980" i="15" s="1"/>
  <c r="R980" i="15" s="1"/>
  <c r="D980" i="15"/>
  <c r="I980" i="15" s="1"/>
  <c r="J980" i="15" s="1"/>
  <c r="L979" i="15"/>
  <c r="Q979" i="15" s="1"/>
  <c r="R979" i="15" s="1"/>
  <c r="D979" i="15"/>
  <c r="I979" i="15" s="1"/>
  <c r="J979" i="15" s="1"/>
  <c r="L978" i="15"/>
  <c r="Q978" i="15" s="1"/>
  <c r="R978" i="15" s="1"/>
  <c r="D978" i="15"/>
  <c r="I978" i="15" s="1"/>
  <c r="J978" i="15" s="1"/>
  <c r="L977" i="15"/>
  <c r="Q977" i="15" s="1"/>
  <c r="R977" i="15" s="1"/>
  <c r="D977" i="15"/>
  <c r="I977" i="15" s="1"/>
  <c r="J977" i="15" s="1"/>
  <c r="L976" i="15"/>
  <c r="Q976" i="15" s="1"/>
  <c r="R976" i="15" s="1"/>
  <c r="D976" i="15"/>
  <c r="I976" i="15" s="1"/>
  <c r="J976" i="15" s="1"/>
  <c r="L975" i="15"/>
  <c r="Q975" i="15" s="1"/>
  <c r="R975" i="15" s="1"/>
  <c r="D975" i="15"/>
  <c r="I975" i="15" s="1"/>
  <c r="J975" i="15" s="1"/>
  <c r="L974" i="15"/>
  <c r="Q974" i="15" s="1"/>
  <c r="R974" i="15" s="1"/>
  <c r="D974" i="15"/>
  <c r="I974" i="15" s="1"/>
  <c r="J974" i="15" s="1"/>
  <c r="L973" i="15"/>
  <c r="Q973" i="15" s="1"/>
  <c r="R973" i="15" s="1"/>
  <c r="D973" i="15"/>
  <c r="I973" i="15" s="1"/>
  <c r="J973" i="15" s="1"/>
  <c r="L972" i="15"/>
  <c r="Q972" i="15" s="1"/>
  <c r="R972" i="15" s="1"/>
  <c r="D972" i="15"/>
  <c r="I972" i="15" s="1"/>
  <c r="J972" i="15" s="1"/>
  <c r="L971" i="15"/>
  <c r="Q971" i="15" s="1"/>
  <c r="R971" i="15" s="1"/>
  <c r="D971" i="15"/>
  <c r="I971" i="15" s="1"/>
  <c r="J971" i="15" s="1"/>
  <c r="L970" i="15"/>
  <c r="Q970" i="15" s="1"/>
  <c r="R970" i="15" s="1"/>
  <c r="D970" i="15"/>
  <c r="I970" i="15" s="1"/>
  <c r="J970" i="15" s="1"/>
  <c r="L969" i="15"/>
  <c r="Q969" i="15" s="1"/>
  <c r="R969" i="15" s="1"/>
  <c r="D969" i="15"/>
  <c r="I969" i="15" s="1"/>
  <c r="J969" i="15" s="1"/>
  <c r="L968" i="15"/>
  <c r="Q968" i="15" s="1"/>
  <c r="R968" i="15" s="1"/>
  <c r="D968" i="15"/>
  <c r="I968" i="15" s="1"/>
  <c r="J968" i="15" s="1"/>
  <c r="L967" i="15"/>
  <c r="Q967" i="15" s="1"/>
  <c r="R967" i="15" s="1"/>
  <c r="D967" i="15"/>
  <c r="I967" i="15" s="1"/>
  <c r="J967" i="15" s="1"/>
  <c r="L966" i="15"/>
  <c r="Q966" i="15" s="1"/>
  <c r="R966" i="15" s="1"/>
  <c r="D966" i="15"/>
  <c r="I966" i="15" s="1"/>
  <c r="J966" i="15" s="1"/>
  <c r="L965" i="15"/>
  <c r="Q965" i="15" s="1"/>
  <c r="R965" i="15" s="1"/>
  <c r="D965" i="15"/>
  <c r="I965" i="15" s="1"/>
  <c r="J965" i="15" s="1"/>
  <c r="L964" i="15"/>
  <c r="Q964" i="15" s="1"/>
  <c r="R964" i="15" s="1"/>
  <c r="D964" i="15"/>
  <c r="I964" i="15" s="1"/>
  <c r="J964" i="15" s="1"/>
  <c r="L963" i="15"/>
  <c r="Q963" i="15" s="1"/>
  <c r="R963" i="15" s="1"/>
  <c r="D963" i="15"/>
  <c r="I963" i="15" s="1"/>
  <c r="J963" i="15" s="1"/>
  <c r="L962" i="15"/>
  <c r="Q962" i="15" s="1"/>
  <c r="R962" i="15" s="1"/>
  <c r="D962" i="15"/>
  <c r="I962" i="15" s="1"/>
  <c r="J962" i="15" s="1"/>
  <c r="L961" i="15"/>
  <c r="Q961" i="15" s="1"/>
  <c r="R961" i="15" s="1"/>
  <c r="D961" i="15"/>
  <c r="I961" i="15" s="1"/>
  <c r="J961" i="15" s="1"/>
  <c r="L960" i="15"/>
  <c r="Q960" i="15" s="1"/>
  <c r="R960" i="15" s="1"/>
  <c r="D960" i="15"/>
  <c r="I960" i="15" s="1"/>
  <c r="J960" i="15" s="1"/>
  <c r="L959" i="15"/>
  <c r="Q959" i="15" s="1"/>
  <c r="R959" i="15" s="1"/>
  <c r="D959" i="15"/>
  <c r="I959" i="15" s="1"/>
  <c r="J959" i="15" s="1"/>
  <c r="L958" i="15"/>
  <c r="Q958" i="15" s="1"/>
  <c r="R958" i="15" s="1"/>
  <c r="D958" i="15"/>
  <c r="I958" i="15" s="1"/>
  <c r="J958" i="15" s="1"/>
  <c r="L957" i="15"/>
  <c r="Q957" i="15" s="1"/>
  <c r="R957" i="15" s="1"/>
  <c r="D957" i="15"/>
  <c r="I957" i="15" s="1"/>
  <c r="J957" i="15" s="1"/>
  <c r="L956" i="15"/>
  <c r="Q956" i="15" s="1"/>
  <c r="R956" i="15" s="1"/>
  <c r="D956" i="15"/>
  <c r="I956" i="15" s="1"/>
  <c r="J956" i="15" s="1"/>
  <c r="L955" i="15"/>
  <c r="Q955" i="15" s="1"/>
  <c r="R955" i="15" s="1"/>
  <c r="D955" i="15"/>
  <c r="I955" i="15" s="1"/>
  <c r="J955" i="15" s="1"/>
  <c r="L954" i="15"/>
  <c r="Q954" i="15" s="1"/>
  <c r="R954" i="15" s="1"/>
  <c r="D954" i="15"/>
  <c r="I954" i="15" s="1"/>
  <c r="J954" i="15" s="1"/>
  <c r="L953" i="15"/>
  <c r="Q953" i="15" s="1"/>
  <c r="R953" i="15" s="1"/>
  <c r="D953" i="15"/>
  <c r="I953" i="15" s="1"/>
  <c r="J953" i="15" s="1"/>
  <c r="L952" i="15"/>
  <c r="Q952" i="15" s="1"/>
  <c r="R952" i="15" s="1"/>
  <c r="D952" i="15"/>
  <c r="I952" i="15" s="1"/>
  <c r="J952" i="15" s="1"/>
  <c r="L951" i="15"/>
  <c r="Q951" i="15" s="1"/>
  <c r="R951" i="15" s="1"/>
  <c r="D951" i="15"/>
  <c r="I951" i="15" s="1"/>
  <c r="J951" i="15" s="1"/>
  <c r="L950" i="15"/>
  <c r="L949" i="15"/>
  <c r="Q949" i="15" s="1"/>
  <c r="R949" i="15" s="1"/>
  <c r="D949" i="15"/>
  <c r="I949" i="15" s="1"/>
  <c r="J949" i="15" s="1"/>
  <c r="Q948" i="15"/>
  <c r="R948" i="15" s="1"/>
  <c r="D948" i="15"/>
  <c r="I948" i="15" s="1"/>
  <c r="J948" i="15" s="1"/>
  <c r="L947" i="15"/>
  <c r="Q947" i="15" s="1"/>
  <c r="R947" i="15" s="1"/>
  <c r="D947" i="15"/>
  <c r="I947" i="15" s="1"/>
  <c r="J947" i="15" s="1"/>
  <c r="L946" i="15"/>
  <c r="Q946" i="15" s="1"/>
  <c r="R946" i="15" s="1"/>
  <c r="D946" i="15"/>
  <c r="I946" i="15" s="1"/>
  <c r="J946" i="15" s="1"/>
  <c r="L945" i="15"/>
  <c r="Q945" i="15" s="1"/>
  <c r="R945" i="15" s="1"/>
  <c r="D945" i="15"/>
  <c r="I945" i="15" s="1"/>
  <c r="J945" i="15" s="1"/>
  <c r="L944" i="15"/>
  <c r="Q944" i="15" s="1"/>
  <c r="R944" i="15" s="1"/>
  <c r="D944" i="15"/>
  <c r="I944" i="15" s="1"/>
  <c r="J944" i="15" s="1"/>
  <c r="L943" i="15"/>
  <c r="Q943" i="15" s="1"/>
  <c r="R943" i="15" s="1"/>
  <c r="D943" i="15"/>
  <c r="I943" i="15" s="1"/>
  <c r="J943" i="15" s="1"/>
  <c r="L942" i="15"/>
  <c r="Q942" i="15" s="1"/>
  <c r="R942" i="15" s="1"/>
  <c r="D942" i="15"/>
  <c r="I942" i="15" s="1"/>
  <c r="J942" i="15" s="1"/>
  <c r="L941" i="15"/>
  <c r="Q941" i="15" s="1"/>
  <c r="R941" i="15" s="1"/>
  <c r="D941" i="15"/>
  <c r="I941" i="15" s="1"/>
  <c r="J941" i="15" s="1"/>
  <c r="L940" i="15"/>
  <c r="Q940" i="15" s="1"/>
  <c r="R940" i="15" s="1"/>
  <c r="D940" i="15"/>
  <c r="I940" i="15" s="1"/>
  <c r="J940" i="15" s="1"/>
  <c r="L939" i="15"/>
  <c r="Q939" i="15" s="1"/>
  <c r="R939" i="15" s="1"/>
  <c r="D939" i="15"/>
  <c r="I939" i="15" s="1"/>
  <c r="J939" i="15" s="1"/>
  <c r="L938" i="15"/>
  <c r="Q938" i="15" s="1"/>
  <c r="R938" i="15" s="1"/>
  <c r="D938" i="15"/>
  <c r="I938" i="15" s="1"/>
  <c r="J938" i="15" s="1"/>
  <c r="L937" i="15"/>
  <c r="Q937" i="15" s="1"/>
  <c r="R937" i="15" s="1"/>
  <c r="D937" i="15"/>
  <c r="I937" i="15" s="1"/>
  <c r="J937" i="15" s="1"/>
  <c r="L936" i="15"/>
  <c r="Q936" i="15" s="1"/>
  <c r="R936" i="15" s="1"/>
  <c r="D936" i="15"/>
  <c r="I936" i="15" s="1"/>
  <c r="J936" i="15" s="1"/>
  <c r="L935" i="15"/>
  <c r="Q935" i="15" s="1"/>
  <c r="R935" i="15" s="1"/>
  <c r="D935" i="15"/>
  <c r="I935" i="15" s="1"/>
  <c r="J935" i="15" s="1"/>
  <c r="L934" i="15"/>
  <c r="Q934" i="15" s="1"/>
  <c r="R934" i="15" s="1"/>
  <c r="D934" i="15"/>
  <c r="I934" i="15" s="1"/>
  <c r="J934" i="15" s="1"/>
  <c r="L933" i="15"/>
  <c r="Q933" i="15" s="1"/>
  <c r="R933" i="15" s="1"/>
  <c r="D933" i="15"/>
  <c r="I933" i="15" s="1"/>
  <c r="J933" i="15" s="1"/>
  <c r="L932" i="15"/>
  <c r="Q932" i="15" s="1"/>
  <c r="R932" i="15" s="1"/>
  <c r="D932" i="15"/>
  <c r="I932" i="15" s="1"/>
  <c r="J932" i="15" s="1"/>
  <c r="L931" i="15"/>
  <c r="Q931" i="15" s="1"/>
  <c r="R931" i="15" s="1"/>
  <c r="D931" i="15"/>
  <c r="I931" i="15" s="1"/>
  <c r="J931" i="15" s="1"/>
  <c r="L930" i="15"/>
  <c r="Q930" i="15" s="1"/>
  <c r="R930" i="15" s="1"/>
  <c r="D930" i="15"/>
  <c r="I930" i="15" s="1"/>
  <c r="J930" i="15" s="1"/>
  <c r="L929" i="15"/>
  <c r="Q929" i="15" s="1"/>
  <c r="R929" i="15" s="1"/>
  <c r="D929" i="15"/>
  <c r="I929" i="15" s="1"/>
  <c r="J929" i="15" s="1"/>
  <c r="L928" i="15"/>
  <c r="Q928" i="15" s="1"/>
  <c r="R928" i="15" s="1"/>
  <c r="D928" i="15"/>
  <c r="I928" i="15" s="1"/>
  <c r="J928" i="15" s="1"/>
  <c r="L927" i="15"/>
  <c r="Q927" i="15" s="1"/>
  <c r="R927" i="15" s="1"/>
  <c r="D927" i="15"/>
  <c r="I927" i="15" s="1"/>
  <c r="J927" i="15" s="1"/>
  <c r="L926" i="15"/>
  <c r="Q926" i="15" s="1"/>
  <c r="R926" i="15" s="1"/>
  <c r="D926" i="15"/>
  <c r="I926" i="15" s="1"/>
  <c r="J926" i="15" s="1"/>
  <c r="L925" i="15"/>
  <c r="Q925" i="15" s="1"/>
  <c r="R925" i="15" s="1"/>
  <c r="D925" i="15"/>
  <c r="I925" i="15" s="1"/>
  <c r="J925" i="15" s="1"/>
  <c r="L924" i="15"/>
  <c r="Q924" i="15" s="1"/>
  <c r="R924" i="15" s="1"/>
  <c r="D924" i="15"/>
  <c r="I924" i="15" s="1"/>
  <c r="J924" i="15" s="1"/>
  <c r="L923" i="15"/>
  <c r="L922" i="15"/>
  <c r="Q922" i="15" s="1"/>
  <c r="R922" i="15" s="1"/>
  <c r="D922" i="15"/>
  <c r="I922" i="15" s="1"/>
  <c r="J922" i="15" s="1"/>
  <c r="L921" i="15"/>
  <c r="Q921" i="15" s="1"/>
  <c r="R921" i="15" s="1"/>
  <c r="D921" i="15"/>
  <c r="I921" i="15" s="1"/>
  <c r="J921" i="15" s="1"/>
  <c r="L920" i="15"/>
  <c r="Q920" i="15" s="1"/>
  <c r="R920" i="15" s="1"/>
  <c r="D920" i="15"/>
  <c r="I920" i="15" s="1"/>
  <c r="J920" i="15" s="1"/>
  <c r="L919" i="15"/>
  <c r="Q919" i="15" s="1"/>
  <c r="R919" i="15" s="1"/>
  <c r="D919" i="15"/>
  <c r="I919" i="15" s="1"/>
  <c r="J919" i="15" s="1"/>
  <c r="L918" i="15"/>
  <c r="Q918" i="15" s="1"/>
  <c r="R918" i="15" s="1"/>
  <c r="D918" i="15"/>
  <c r="I918" i="15" s="1"/>
  <c r="J918" i="15" s="1"/>
  <c r="L917" i="15"/>
  <c r="Q917" i="15" s="1"/>
  <c r="R917" i="15" s="1"/>
  <c r="D917" i="15"/>
  <c r="I917" i="15" s="1"/>
  <c r="J917" i="15" s="1"/>
  <c r="L916" i="15"/>
  <c r="Q916" i="15" s="1"/>
  <c r="R916" i="15" s="1"/>
  <c r="D916" i="15"/>
  <c r="I916" i="15" s="1"/>
  <c r="J916" i="15" s="1"/>
  <c r="L915" i="15"/>
  <c r="Q915" i="15" s="1"/>
  <c r="R915" i="15" s="1"/>
  <c r="D915" i="15"/>
  <c r="I915" i="15" s="1"/>
  <c r="J915" i="15" s="1"/>
  <c r="L914" i="15"/>
  <c r="Q914" i="15" s="1"/>
  <c r="R914" i="15" s="1"/>
  <c r="D914" i="15"/>
  <c r="I914" i="15" s="1"/>
  <c r="J914" i="15" s="1"/>
  <c r="L913" i="15"/>
  <c r="Q913" i="15" s="1"/>
  <c r="R913" i="15" s="1"/>
  <c r="D913" i="15"/>
  <c r="I913" i="15" s="1"/>
  <c r="J913" i="15" s="1"/>
  <c r="L912" i="15"/>
  <c r="Q912" i="15" s="1"/>
  <c r="R912" i="15" s="1"/>
  <c r="D912" i="15"/>
  <c r="I912" i="15" s="1"/>
  <c r="J912" i="15" s="1"/>
  <c r="L911" i="15"/>
  <c r="Q911" i="15" s="1"/>
  <c r="R911" i="15" s="1"/>
  <c r="D911" i="15"/>
  <c r="I911" i="15" s="1"/>
  <c r="J911" i="15" s="1"/>
  <c r="L910" i="15"/>
  <c r="Q910" i="15" s="1"/>
  <c r="R910" i="15" s="1"/>
  <c r="D910" i="15"/>
  <c r="I910" i="15" s="1"/>
  <c r="J910" i="15" s="1"/>
  <c r="L909" i="15"/>
  <c r="Q909" i="15" s="1"/>
  <c r="R909" i="15" s="1"/>
  <c r="D909" i="15"/>
  <c r="I909" i="15" s="1"/>
  <c r="J909" i="15" s="1"/>
  <c r="L908" i="15"/>
  <c r="Q908" i="15" s="1"/>
  <c r="R908" i="15" s="1"/>
  <c r="D908" i="15"/>
  <c r="I908" i="15" s="1"/>
  <c r="J908" i="15" s="1"/>
  <c r="L907" i="15"/>
  <c r="Q907" i="15" s="1"/>
  <c r="R907" i="15" s="1"/>
  <c r="D907" i="15"/>
  <c r="I907" i="15" s="1"/>
  <c r="J907" i="15" s="1"/>
  <c r="L906" i="15"/>
  <c r="Q906" i="15" s="1"/>
  <c r="R906" i="15" s="1"/>
  <c r="D906" i="15"/>
  <c r="I906" i="15" s="1"/>
  <c r="J906" i="15" s="1"/>
  <c r="L905" i="15"/>
  <c r="Q905" i="15" s="1"/>
  <c r="R905" i="15" s="1"/>
  <c r="D905" i="15"/>
  <c r="I905" i="15" s="1"/>
  <c r="J905" i="15" s="1"/>
  <c r="L904" i="15"/>
  <c r="Q904" i="15" s="1"/>
  <c r="R904" i="15" s="1"/>
  <c r="D904" i="15"/>
  <c r="I904" i="15" s="1"/>
  <c r="J904" i="15" s="1"/>
  <c r="L903" i="15"/>
  <c r="Q903" i="15" s="1"/>
  <c r="R903" i="15" s="1"/>
  <c r="D903" i="15"/>
  <c r="I903" i="15" s="1"/>
  <c r="J903" i="15" s="1"/>
  <c r="L902" i="15"/>
  <c r="Q902" i="15" s="1"/>
  <c r="R902" i="15" s="1"/>
  <c r="D902" i="15"/>
  <c r="I902" i="15" s="1"/>
  <c r="J902" i="15" s="1"/>
  <c r="L901" i="15"/>
  <c r="Q901" i="15" s="1"/>
  <c r="R901" i="15" s="1"/>
  <c r="D901" i="15"/>
  <c r="I901" i="15" s="1"/>
  <c r="J901" i="15" s="1"/>
  <c r="L900" i="15"/>
  <c r="Q900" i="15" s="1"/>
  <c r="R900" i="15" s="1"/>
  <c r="D900" i="15"/>
  <c r="I900" i="15" s="1"/>
  <c r="J900" i="15" s="1"/>
  <c r="L899" i="15"/>
  <c r="Q899" i="15" s="1"/>
  <c r="R899" i="15" s="1"/>
  <c r="D899" i="15"/>
  <c r="I899" i="15" s="1"/>
  <c r="J899" i="15" s="1"/>
  <c r="L898" i="15"/>
  <c r="Q898" i="15" s="1"/>
  <c r="R898" i="15" s="1"/>
  <c r="D898" i="15"/>
  <c r="I898" i="15" s="1"/>
  <c r="J898" i="15" s="1"/>
  <c r="L897" i="15"/>
  <c r="Q897" i="15" s="1"/>
  <c r="R897" i="15" s="1"/>
  <c r="D897" i="15"/>
  <c r="I897" i="15" s="1"/>
  <c r="J897" i="15" s="1"/>
  <c r="L896" i="15"/>
  <c r="Q896" i="15" s="1"/>
  <c r="R896" i="15" s="1"/>
  <c r="D896" i="15"/>
  <c r="I896" i="15" s="1"/>
  <c r="J896" i="15" s="1"/>
  <c r="L895" i="15"/>
  <c r="Q895" i="15" s="1"/>
  <c r="R895" i="15" s="1"/>
  <c r="D895" i="15"/>
  <c r="I895" i="15" s="1"/>
  <c r="J895" i="15" s="1"/>
  <c r="L894" i="15"/>
  <c r="Q894" i="15" s="1"/>
  <c r="R894" i="15" s="1"/>
  <c r="D894" i="15"/>
  <c r="I894" i="15" s="1"/>
  <c r="J894" i="15" s="1"/>
  <c r="L893" i="15"/>
  <c r="Q893" i="15" s="1"/>
  <c r="R893" i="15" s="1"/>
  <c r="D893" i="15"/>
  <c r="I893" i="15" s="1"/>
  <c r="J893" i="15" s="1"/>
  <c r="L892" i="15"/>
  <c r="Q892" i="15" s="1"/>
  <c r="R892" i="15" s="1"/>
  <c r="D892" i="15"/>
  <c r="I892" i="15" s="1"/>
  <c r="J892" i="15" s="1"/>
  <c r="L891" i="15"/>
  <c r="Q891" i="15" s="1"/>
  <c r="R891" i="15" s="1"/>
  <c r="D891" i="15"/>
  <c r="I891" i="15" s="1"/>
  <c r="J891" i="15" s="1"/>
  <c r="L890" i="15"/>
  <c r="Q890" i="15" s="1"/>
  <c r="R890" i="15" s="1"/>
  <c r="D890" i="15"/>
  <c r="I890" i="15" s="1"/>
  <c r="J890" i="15" s="1"/>
  <c r="L889" i="15"/>
  <c r="Q889" i="15" s="1"/>
  <c r="R889" i="15" s="1"/>
  <c r="D889" i="15"/>
  <c r="I889" i="15" s="1"/>
  <c r="J889" i="15" s="1"/>
  <c r="L888" i="15"/>
  <c r="Q888" i="15" s="1"/>
  <c r="R888" i="15" s="1"/>
  <c r="D888" i="15"/>
  <c r="I888" i="15" s="1"/>
  <c r="J888" i="15" s="1"/>
  <c r="L887" i="15"/>
  <c r="Q887" i="15" s="1"/>
  <c r="R887" i="15" s="1"/>
  <c r="D887" i="15"/>
  <c r="I887" i="15" s="1"/>
  <c r="J887" i="15" s="1"/>
  <c r="L886" i="15"/>
  <c r="Q886" i="15" s="1"/>
  <c r="R886" i="15" s="1"/>
  <c r="D886" i="15"/>
  <c r="I886" i="15" s="1"/>
  <c r="J886" i="15" s="1"/>
  <c r="L885" i="15"/>
  <c r="Q885" i="15" s="1"/>
  <c r="R885" i="15" s="1"/>
  <c r="D885" i="15"/>
  <c r="I885" i="15" s="1"/>
  <c r="J885" i="15" s="1"/>
  <c r="L883" i="15"/>
  <c r="Q883" i="15" s="1"/>
  <c r="R883" i="15" s="1"/>
  <c r="D883" i="15"/>
  <c r="I883" i="15" s="1"/>
  <c r="J883" i="15" s="1"/>
  <c r="L882" i="15"/>
  <c r="Q882" i="15" s="1"/>
  <c r="R882" i="15" s="1"/>
  <c r="D882" i="15"/>
  <c r="I882" i="15" s="1"/>
  <c r="J882" i="15" s="1"/>
  <c r="L881" i="15"/>
  <c r="Q881" i="15" s="1"/>
  <c r="R881" i="15" s="1"/>
  <c r="D881" i="15"/>
  <c r="I881" i="15" s="1"/>
  <c r="J881" i="15" s="1"/>
  <c r="L880" i="15"/>
  <c r="Q880" i="15" s="1"/>
  <c r="R880" i="15" s="1"/>
  <c r="D880" i="15"/>
  <c r="I880" i="15" s="1"/>
  <c r="J880" i="15" s="1"/>
  <c r="L879" i="15"/>
  <c r="Q879" i="15" s="1"/>
  <c r="R879" i="15" s="1"/>
  <c r="D879" i="15"/>
  <c r="I879" i="15" s="1"/>
  <c r="J879" i="15" s="1"/>
  <c r="L878" i="15"/>
  <c r="Q878" i="15" s="1"/>
  <c r="R878" i="15" s="1"/>
  <c r="D878" i="15"/>
  <c r="I878" i="15" s="1"/>
  <c r="J878" i="15" s="1"/>
  <c r="L877" i="15"/>
  <c r="Q877" i="15" s="1"/>
  <c r="R877" i="15" s="1"/>
  <c r="D877" i="15"/>
  <c r="I877" i="15" s="1"/>
  <c r="J877" i="15" s="1"/>
  <c r="L876" i="15"/>
  <c r="Q876" i="15" s="1"/>
  <c r="R876" i="15" s="1"/>
  <c r="D876" i="15"/>
  <c r="I876" i="15" s="1"/>
  <c r="J876" i="15" s="1"/>
  <c r="L875" i="15"/>
  <c r="Q875" i="15" s="1"/>
  <c r="R875" i="15" s="1"/>
  <c r="D875" i="15"/>
  <c r="I875" i="15" s="1"/>
  <c r="J875" i="15" s="1"/>
  <c r="L874" i="15"/>
  <c r="Q874" i="15" s="1"/>
  <c r="R874" i="15" s="1"/>
  <c r="D874" i="15"/>
  <c r="I874" i="15" s="1"/>
  <c r="J874" i="15" s="1"/>
  <c r="L873" i="15"/>
  <c r="Q873" i="15" s="1"/>
  <c r="R873" i="15" s="1"/>
  <c r="D873" i="15"/>
  <c r="I873" i="15" s="1"/>
  <c r="J873" i="15" s="1"/>
  <c r="L872" i="15"/>
  <c r="Q872" i="15" s="1"/>
  <c r="R872" i="15" s="1"/>
  <c r="D872" i="15"/>
  <c r="I872" i="15" s="1"/>
  <c r="J872" i="15" s="1"/>
  <c r="L871" i="15"/>
  <c r="Q871" i="15" s="1"/>
  <c r="R871" i="15" s="1"/>
  <c r="D871" i="15"/>
  <c r="I871" i="15" s="1"/>
  <c r="J871" i="15" s="1"/>
  <c r="L870" i="15"/>
  <c r="Q870" i="15" s="1"/>
  <c r="R870" i="15" s="1"/>
  <c r="D870" i="15"/>
  <c r="I870" i="15" s="1"/>
  <c r="J870" i="15" s="1"/>
  <c r="L869" i="15"/>
  <c r="Q869" i="15" s="1"/>
  <c r="R869" i="15" s="1"/>
  <c r="D869" i="15"/>
  <c r="I869" i="15" s="1"/>
  <c r="J869" i="15" s="1"/>
  <c r="L868" i="15"/>
  <c r="L867" i="15"/>
  <c r="Q867" i="15" s="1"/>
  <c r="R867" i="15" s="1"/>
  <c r="D867" i="15"/>
  <c r="I867" i="15" s="1"/>
  <c r="J867" i="15" s="1"/>
  <c r="L866" i="15"/>
  <c r="Q866" i="15" s="1"/>
  <c r="R866" i="15" s="1"/>
  <c r="D866" i="15"/>
  <c r="I866" i="15" s="1"/>
  <c r="J866" i="15" s="1"/>
  <c r="L865" i="15"/>
  <c r="Q865" i="15" s="1"/>
  <c r="R865" i="15" s="1"/>
  <c r="D865" i="15"/>
  <c r="I865" i="15" s="1"/>
  <c r="J865" i="15" s="1"/>
  <c r="L864" i="15"/>
  <c r="Q864" i="15" s="1"/>
  <c r="R864" i="15" s="1"/>
  <c r="D864" i="15"/>
  <c r="I864" i="15" s="1"/>
  <c r="J864" i="15" s="1"/>
  <c r="L863" i="15"/>
  <c r="Q863" i="15" s="1"/>
  <c r="R863" i="15" s="1"/>
  <c r="D863" i="15"/>
  <c r="I863" i="15" s="1"/>
  <c r="J863" i="15" s="1"/>
  <c r="L862" i="15"/>
  <c r="Q862" i="15" s="1"/>
  <c r="R862" i="15" s="1"/>
  <c r="D862" i="15"/>
  <c r="I862" i="15" s="1"/>
  <c r="J862" i="15" s="1"/>
  <c r="L861" i="15"/>
  <c r="Q861" i="15" s="1"/>
  <c r="R861" i="15" s="1"/>
  <c r="D861" i="15"/>
  <c r="I861" i="15" s="1"/>
  <c r="J861" i="15" s="1"/>
  <c r="L860" i="15"/>
  <c r="Q860" i="15" s="1"/>
  <c r="R860" i="15" s="1"/>
  <c r="D860" i="15"/>
  <c r="I860" i="15" s="1"/>
  <c r="J860" i="15" s="1"/>
  <c r="L859" i="15"/>
  <c r="Q859" i="15" s="1"/>
  <c r="R859" i="15" s="1"/>
  <c r="D859" i="15"/>
  <c r="I859" i="15" s="1"/>
  <c r="J859" i="15" s="1"/>
  <c r="L858" i="15"/>
  <c r="Q858" i="15" s="1"/>
  <c r="R858" i="15" s="1"/>
  <c r="D858" i="15"/>
  <c r="I858" i="15" s="1"/>
  <c r="J858" i="15" s="1"/>
  <c r="L857" i="15"/>
  <c r="Q857" i="15" s="1"/>
  <c r="R857" i="15" s="1"/>
  <c r="D857" i="15"/>
  <c r="I857" i="15" s="1"/>
  <c r="J857" i="15" s="1"/>
  <c r="L856" i="15"/>
  <c r="Q856" i="15" s="1"/>
  <c r="R856" i="15" s="1"/>
  <c r="D856" i="15"/>
  <c r="I856" i="15" s="1"/>
  <c r="J856" i="15" s="1"/>
  <c r="L855" i="15"/>
  <c r="Q855" i="15" s="1"/>
  <c r="R855" i="15" s="1"/>
  <c r="D855" i="15"/>
  <c r="I855" i="15" s="1"/>
  <c r="J855" i="15" s="1"/>
  <c r="L854" i="15"/>
  <c r="Q854" i="15" s="1"/>
  <c r="R854" i="15" s="1"/>
  <c r="D854" i="15"/>
  <c r="I854" i="15" s="1"/>
  <c r="J854" i="15" s="1"/>
  <c r="L853" i="15"/>
  <c r="Q853" i="15" s="1"/>
  <c r="R853" i="15" s="1"/>
  <c r="D853" i="15"/>
  <c r="I853" i="15" s="1"/>
  <c r="J853" i="15" s="1"/>
  <c r="L852" i="15"/>
  <c r="Q852" i="15" s="1"/>
  <c r="R852" i="15" s="1"/>
  <c r="D852" i="15"/>
  <c r="I852" i="15" s="1"/>
  <c r="J852" i="15" s="1"/>
  <c r="L851" i="15"/>
  <c r="Q851" i="15" s="1"/>
  <c r="R851" i="15" s="1"/>
  <c r="D851" i="15"/>
  <c r="I851" i="15" s="1"/>
  <c r="J851" i="15" s="1"/>
  <c r="L850" i="15"/>
  <c r="Q850" i="15" s="1"/>
  <c r="R850" i="15" s="1"/>
  <c r="D850" i="15"/>
  <c r="I850" i="15" s="1"/>
  <c r="J850" i="15" s="1"/>
  <c r="L849" i="15"/>
  <c r="Q849" i="15" s="1"/>
  <c r="R849" i="15" s="1"/>
  <c r="D849" i="15"/>
  <c r="I849" i="15" s="1"/>
  <c r="J849" i="15" s="1"/>
  <c r="L848" i="15"/>
  <c r="Q848" i="15" s="1"/>
  <c r="R848" i="15" s="1"/>
  <c r="D848" i="15"/>
  <c r="I848" i="15" s="1"/>
  <c r="J848" i="15" s="1"/>
  <c r="L847" i="15"/>
  <c r="Q847" i="15" s="1"/>
  <c r="R847" i="15" s="1"/>
  <c r="D847" i="15"/>
  <c r="I847" i="15" s="1"/>
  <c r="J847" i="15" s="1"/>
  <c r="L846" i="15"/>
  <c r="Q846" i="15" s="1"/>
  <c r="R846" i="15" s="1"/>
  <c r="D846" i="15"/>
  <c r="I846" i="15" s="1"/>
  <c r="J846" i="15" s="1"/>
  <c r="L845" i="15"/>
  <c r="Q845" i="15" s="1"/>
  <c r="R845" i="15" s="1"/>
  <c r="D845" i="15"/>
  <c r="I845" i="15" s="1"/>
  <c r="J845" i="15" s="1"/>
  <c r="L844" i="15"/>
  <c r="Q844" i="15" s="1"/>
  <c r="R844" i="15" s="1"/>
  <c r="D844" i="15"/>
  <c r="I844" i="15" s="1"/>
  <c r="J844" i="15" s="1"/>
  <c r="L843" i="15"/>
  <c r="Q843" i="15" s="1"/>
  <c r="R843" i="15" s="1"/>
  <c r="D843" i="15"/>
  <c r="I843" i="15" s="1"/>
  <c r="J843" i="15" s="1"/>
  <c r="L842" i="15"/>
  <c r="Q842" i="15" s="1"/>
  <c r="R842" i="15" s="1"/>
  <c r="D842" i="15"/>
  <c r="I842" i="15" s="1"/>
  <c r="J842" i="15" s="1"/>
  <c r="L841" i="15"/>
  <c r="Q841" i="15" s="1"/>
  <c r="R841" i="15" s="1"/>
  <c r="D841" i="15"/>
  <c r="I841" i="15" s="1"/>
  <c r="J841" i="15" s="1"/>
  <c r="L840" i="15"/>
  <c r="Q840" i="15" s="1"/>
  <c r="R840" i="15" s="1"/>
  <c r="D840" i="15"/>
  <c r="I840" i="15" s="1"/>
  <c r="J840" i="15" s="1"/>
  <c r="L839" i="15"/>
  <c r="Q839" i="15" s="1"/>
  <c r="R839" i="15" s="1"/>
  <c r="D839" i="15"/>
  <c r="I839" i="15" s="1"/>
  <c r="J839" i="15" s="1"/>
  <c r="L838" i="15"/>
  <c r="Q838" i="15" s="1"/>
  <c r="R838" i="15" s="1"/>
  <c r="D838" i="15"/>
  <c r="I838" i="15" s="1"/>
  <c r="J838" i="15" s="1"/>
  <c r="L837" i="15"/>
  <c r="Q837" i="15" s="1"/>
  <c r="R837" i="15" s="1"/>
  <c r="D837" i="15"/>
  <c r="I837" i="15" s="1"/>
  <c r="J837" i="15" s="1"/>
  <c r="L836" i="15"/>
  <c r="Q836" i="15" s="1"/>
  <c r="R836" i="15" s="1"/>
  <c r="D836" i="15"/>
  <c r="I836" i="15" s="1"/>
  <c r="J836" i="15" s="1"/>
  <c r="L835" i="15"/>
  <c r="Q835" i="15" s="1"/>
  <c r="R835" i="15" s="1"/>
  <c r="D835" i="15"/>
  <c r="I835" i="15" s="1"/>
  <c r="J835" i="15" s="1"/>
  <c r="L834" i="15"/>
  <c r="Q834" i="15" s="1"/>
  <c r="R834" i="15" s="1"/>
  <c r="D834" i="15"/>
  <c r="I834" i="15" s="1"/>
  <c r="J834" i="15" s="1"/>
  <c r="L833" i="15"/>
  <c r="Q833" i="15" s="1"/>
  <c r="R833" i="15" s="1"/>
  <c r="D833" i="15"/>
  <c r="I833" i="15" s="1"/>
  <c r="J833" i="15" s="1"/>
  <c r="L832" i="15"/>
  <c r="Q832" i="15" s="1"/>
  <c r="R832" i="15" s="1"/>
  <c r="D832" i="15"/>
  <c r="I832" i="15" s="1"/>
  <c r="J832" i="15" s="1"/>
  <c r="L831" i="15"/>
  <c r="Q831" i="15" s="1"/>
  <c r="R831" i="15" s="1"/>
  <c r="D831" i="15"/>
  <c r="I831" i="15" s="1"/>
  <c r="J831" i="15" s="1"/>
  <c r="L830" i="15"/>
  <c r="Q830" i="15" s="1"/>
  <c r="R830" i="15" s="1"/>
  <c r="D830" i="15"/>
  <c r="I830" i="15" s="1"/>
  <c r="J830" i="15" s="1"/>
  <c r="L829" i="15"/>
  <c r="Q829" i="15" s="1"/>
  <c r="R829" i="15" s="1"/>
  <c r="D829" i="15"/>
  <c r="I829" i="15" s="1"/>
  <c r="J829" i="15" s="1"/>
  <c r="L828" i="15"/>
  <c r="Q828" i="15" s="1"/>
  <c r="R828" i="15" s="1"/>
  <c r="D828" i="15"/>
  <c r="I828" i="15" s="1"/>
  <c r="J828" i="15" s="1"/>
  <c r="L827" i="15"/>
  <c r="Q827" i="15" s="1"/>
  <c r="R827" i="15" s="1"/>
  <c r="D827" i="15"/>
  <c r="I827" i="15" s="1"/>
  <c r="J827" i="15" s="1"/>
  <c r="L826" i="15"/>
  <c r="Q826" i="15" s="1"/>
  <c r="R826" i="15" s="1"/>
  <c r="D826" i="15"/>
  <c r="I826" i="15" s="1"/>
  <c r="J826" i="15" s="1"/>
  <c r="L825" i="15"/>
  <c r="Q825" i="15" s="1"/>
  <c r="R825" i="15" s="1"/>
  <c r="D825" i="15"/>
  <c r="I825" i="15" s="1"/>
  <c r="J825" i="15" s="1"/>
  <c r="L824" i="15"/>
  <c r="Q824" i="15" s="1"/>
  <c r="R824" i="15" s="1"/>
  <c r="D824" i="15"/>
  <c r="I824" i="15" s="1"/>
  <c r="J824" i="15" s="1"/>
  <c r="L823" i="15"/>
  <c r="Q823" i="15" s="1"/>
  <c r="R823" i="15" s="1"/>
  <c r="D823" i="15"/>
  <c r="I823" i="15" s="1"/>
  <c r="J823" i="15" s="1"/>
  <c r="L822" i="15"/>
  <c r="Q822" i="15" s="1"/>
  <c r="R822" i="15" s="1"/>
  <c r="D822" i="15"/>
  <c r="I822" i="15" s="1"/>
  <c r="J822" i="15" s="1"/>
  <c r="L821" i="15"/>
  <c r="Q821" i="15" s="1"/>
  <c r="R821" i="15" s="1"/>
  <c r="D821" i="15"/>
  <c r="I821" i="15" s="1"/>
  <c r="J821" i="15" s="1"/>
  <c r="L820" i="15"/>
  <c r="Q820" i="15" s="1"/>
  <c r="R820" i="15" s="1"/>
  <c r="D820" i="15"/>
  <c r="I820" i="15" s="1"/>
  <c r="J820" i="15" s="1"/>
  <c r="L819" i="15"/>
  <c r="Q819" i="15" s="1"/>
  <c r="R819" i="15" s="1"/>
  <c r="D819" i="15"/>
  <c r="I819" i="15" s="1"/>
  <c r="J819" i="15" s="1"/>
  <c r="L818" i="15"/>
  <c r="Q818" i="15" s="1"/>
  <c r="R818" i="15" s="1"/>
  <c r="D818" i="15"/>
  <c r="I818" i="15" s="1"/>
  <c r="J818" i="15" s="1"/>
  <c r="L817" i="15"/>
  <c r="Q817" i="15" s="1"/>
  <c r="R817" i="15" s="1"/>
  <c r="D817" i="15"/>
  <c r="I817" i="15" s="1"/>
  <c r="J817" i="15" s="1"/>
  <c r="L816" i="15"/>
  <c r="Q816" i="15" s="1"/>
  <c r="R816" i="15" s="1"/>
  <c r="D816" i="15"/>
  <c r="I816" i="15" s="1"/>
  <c r="J816" i="15" s="1"/>
  <c r="L815" i="15"/>
  <c r="Q815" i="15" s="1"/>
  <c r="R815" i="15" s="1"/>
  <c r="D815" i="15"/>
  <c r="I815" i="15" s="1"/>
  <c r="J815" i="15" s="1"/>
  <c r="L814" i="15"/>
  <c r="Q814" i="15" s="1"/>
  <c r="R814" i="15" s="1"/>
  <c r="D814" i="15"/>
  <c r="I814" i="15" s="1"/>
  <c r="J814" i="15" s="1"/>
  <c r="L813" i="15"/>
  <c r="Q813" i="15" s="1"/>
  <c r="R813" i="15" s="1"/>
  <c r="D813" i="15"/>
  <c r="I813" i="15" s="1"/>
  <c r="J813" i="15" s="1"/>
  <c r="L812" i="15"/>
  <c r="Q812" i="15" s="1"/>
  <c r="R812" i="15" s="1"/>
  <c r="D812" i="15"/>
  <c r="I812" i="15" s="1"/>
  <c r="J812" i="15" s="1"/>
  <c r="L811" i="15"/>
  <c r="Q811" i="15" s="1"/>
  <c r="R811" i="15" s="1"/>
  <c r="D811" i="15"/>
  <c r="I811" i="15" s="1"/>
  <c r="J811" i="15" s="1"/>
  <c r="L810" i="15"/>
  <c r="Q810" i="15" s="1"/>
  <c r="R810" i="15" s="1"/>
  <c r="D810" i="15"/>
  <c r="I810" i="15" s="1"/>
  <c r="J810" i="15" s="1"/>
  <c r="L809" i="15"/>
  <c r="Q809" i="15" s="1"/>
  <c r="R809" i="15" s="1"/>
  <c r="D809" i="15"/>
  <c r="I809" i="15" s="1"/>
  <c r="J809" i="15" s="1"/>
  <c r="L808" i="15"/>
  <c r="Q808" i="15" s="1"/>
  <c r="R808" i="15" s="1"/>
  <c r="D808" i="15"/>
  <c r="I808" i="15" s="1"/>
  <c r="J808" i="15" s="1"/>
  <c r="L807" i="15"/>
  <c r="L806" i="15"/>
  <c r="Q806" i="15" s="1"/>
  <c r="R806" i="15" s="1"/>
  <c r="D806" i="15"/>
  <c r="I806" i="15" s="1"/>
  <c r="J806" i="15" s="1"/>
  <c r="L805" i="15"/>
  <c r="Q805" i="15" s="1"/>
  <c r="R805" i="15" s="1"/>
  <c r="D805" i="15"/>
  <c r="I805" i="15" s="1"/>
  <c r="J805" i="15" s="1"/>
  <c r="L804" i="15"/>
  <c r="Q804" i="15" s="1"/>
  <c r="R804" i="15" s="1"/>
  <c r="D804" i="15"/>
  <c r="I804" i="15" s="1"/>
  <c r="J804" i="15" s="1"/>
  <c r="L803" i="15"/>
  <c r="Q803" i="15" s="1"/>
  <c r="R803" i="15" s="1"/>
  <c r="D803" i="15"/>
  <c r="I803" i="15" s="1"/>
  <c r="J803" i="15" s="1"/>
  <c r="L802" i="15"/>
  <c r="Q802" i="15" s="1"/>
  <c r="R802" i="15" s="1"/>
  <c r="D802" i="15"/>
  <c r="I802" i="15" s="1"/>
  <c r="J802" i="15" s="1"/>
  <c r="L801" i="15"/>
  <c r="Q801" i="15" s="1"/>
  <c r="R801" i="15" s="1"/>
  <c r="D801" i="15"/>
  <c r="I801" i="15" s="1"/>
  <c r="J801" i="15" s="1"/>
  <c r="L800" i="15"/>
  <c r="Q800" i="15" s="1"/>
  <c r="R800" i="15" s="1"/>
  <c r="D800" i="15"/>
  <c r="I800" i="15" s="1"/>
  <c r="J800" i="15" s="1"/>
  <c r="L799" i="15"/>
  <c r="Q799" i="15" s="1"/>
  <c r="R799" i="15" s="1"/>
  <c r="D799" i="15"/>
  <c r="I799" i="15" s="1"/>
  <c r="J799" i="15" s="1"/>
  <c r="L798" i="15"/>
  <c r="Q798" i="15" s="1"/>
  <c r="R798" i="15" s="1"/>
  <c r="D798" i="15"/>
  <c r="I798" i="15" s="1"/>
  <c r="J798" i="15" s="1"/>
  <c r="L797" i="15"/>
  <c r="Q797" i="15" s="1"/>
  <c r="R797" i="15" s="1"/>
  <c r="D797" i="15"/>
  <c r="I797" i="15" s="1"/>
  <c r="J797" i="15" s="1"/>
  <c r="L796" i="15"/>
  <c r="Q796" i="15" s="1"/>
  <c r="R796" i="15" s="1"/>
  <c r="D796" i="15"/>
  <c r="I796" i="15" s="1"/>
  <c r="J796" i="15" s="1"/>
  <c r="L795" i="15"/>
  <c r="Q795" i="15" s="1"/>
  <c r="R795" i="15" s="1"/>
  <c r="D795" i="15"/>
  <c r="I795" i="15" s="1"/>
  <c r="J795" i="15" s="1"/>
  <c r="L794" i="15"/>
  <c r="Q794" i="15" s="1"/>
  <c r="R794" i="15" s="1"/>
  <c r="D794" i="15"/>
  <c r="I794" i="15" s="1"/>
  <c r="J794" i="15" s="1"/>
  <c r="L793" i="15"/>
  <c r="Q793" i="15" s="1"/>
  <c r="R793" i="15" s="1"/>
  <c r="D793" i="15"/>
  <c r="I793" i="15" s="1"/>
  <c r="J793" i="15" s="1"/>
  <c r="L792" i="15"/>
  <c r="Q792" i="15" s="1"/>
  <c r="R792" i="15" s="1"/>
  <c r="D792" i="15"/>
  <c r="I792" i="15" s="1"/>
  <c r="J792" i="15" s="1"/>
  <c r="L791" i="15"/>
  <c r="Q791" i="15" s="1"/>
  <c r="R791" i="15" s="1"/>
  <c r="D791" i="15"/>
  <c r="I791" i="15" s="1"/>
  <c r="J791" i="15" s="1"/>
  <c r="L790" i="15"/>
  <c r="Q790" i="15" s="1"/>
  <c r="R790" i="15" s="1"/>
  <c r="D790" i="15"/>
  <c r="I790" i="15" s="1"/>
  <c r="J790" i="15" s="1"/>
  <c r="L789" i="15"/>
  <c r="Q789" i="15" s="1"/>
  <c r="R789" i="15" s="1"/>
  <c r="D789" i="15"/>
  <c r="I789" i="15" s="1"/>
  <c r="J789" i="15" s="1"/>
  <c r="L788" i="15"/>
  <c r="Q788" i="15" s="1"/>
  <c r="R788" i="15" s="1"/>
  <c r="D788" i="15"/>
  <c r="I788" i="15" s="1"/>
  <c r="J788" i="15" s="1"/>
  <c r="L787" i="15"/>
  <c r="Q787" i="15" s="1"/>
  <c r="R787" i="15" s="1"/>
  <c r="D787" i="15"/>
  <c r="I787" i="15" s="1"/>
  <c r="J787" i="15" s="1"/>
  <c r="L786" i="15"/>
  <c r="Q786" i="15" s="1"/>
  <c r="R786" i="15" s="1"/>
  <c r="D786" i="15"/>
  <c r="I786" i="15" s="1"/>
  <c r="J786" i="15" s="1"/>
  <c r="L785" i="15"/>
  <c r="Q785" i="15" s="1"/>
  <c r="R785" i="15" s="1"/>
  <c r="D785" i="15"/>
  <c r="I785" i="15" s="1"/>
  <c r="J785" i="15" s="1"/>
  <c r="L784" i="15"/>
  <c r="Q784" i="15" s="1"/>
  <c r="R784" i="15" s="1"/>
  <c r="D784" i="15"/>
  <c r="I784" i="15" s="1"/>
  <c r="J784" i="15" s="1"/>
  <c r="L783" i="15"/>
  <c r="Q783" i="15" s="1"/>
  <c r="R783" i="15" s="1"/>
  <c r="D783" i="15"/>
  <c r="I783" i="15" s="1"/>
  <c r="J783" i="15" s="1"/>
  <c r="L782" i="15"/>
  <c r="Q782" i="15" s="1"/>
  <c r="R782" i="15" s="1"/>
  <c r="D782" i="15"/>
  <c r="I782" i="15" s="1"/>
  <c r="J782" i="15" s="1"/>
  <c r="L781" i="15"/>
  <c r="Q781" i="15" s="1"/>
  <c r="R781" i="15" s="1"/>
  <c r="D781" i="15"/>
  <c r="I781" i="15" s="1"/>
  <c r="J781" i="15" s="1"/>
  <c r="L780" i="15"/>
  <c r="Q780" i="15" s="1"/>
  <c r="R780" i="15" s="1"/>
  <c r="D780" i="15"/>
  <c r="I780" i="15" s="1"/>
  <c r="J780" i="15" s="1"/>
  <c r="L779" i="15"/>
  <c r="Q779" i="15" s="1"/>
  <c r="R779" i="15" s="1"/>
  <c r="D779" i="15"/>
  <c r="I779" i="15" s="1"/>
  <c r="J779" i="15" s="1"/>
  <c r="L778" i="15"/>
  <c r="Q778" i="15" s="1"/>
  <c r="R778" i="15" s="1"/>
  <c r="D778" i="15"/>
  <c r="I778" i="15" s="1"/>
  <c r="J778" i="15" s="1"/>
  <c r="L777" i="15"/>
  <c r="Q777" i="15" s="1"/>
  <c r="R777" i="15" s="1"/>
  <c r="D777" i="15"/>
  <c r="I777" i="15" s="1"/>
  <c r="J777" i="15" s="1"/>
  <c r="L776" i="15"/>
  <c r="Q776" i="15" s="1"/>
  <c r="R776" i="15" s="1"/>
  <c r="D776" i="15"/>
  <c r="I776" i="15" s="1"/>
  <c r="J776" i="15" s="1"/>
  <c r="L775" i="15"/>
  <c r="Q775" i="15" s="1"/>
  <c r="R775" i="15" s="1"/>
  <c r="D775" i="15"/>
  <c r="I775" i="15" s="1"/>
  <c r="J775" i="15" s="1"/>
  <c r="L774" i="15"/>
  <c r="Q774" i="15" s="1"/>
  <c r="R774" i="15" s="1"/>
  <c r="D774" i="15"/>
  <c r="I774" i="15" s="1"/>
  <c r="J774" i="15" s="1"/>
  <c r="L773" i="15"/>
  <c r="Q773" i="15" s="1"/>
  <c r="R773" i="15" s="1"/>
  <c r="D773" i="15"/>
  <c r="I773" i="15" s="1"/>
  <c r="J773" i="15" s="1"/>
  <c r="L772" i="15"/>
  <c r="Q772" i="15" s="1"/>
  <c r="R772" i="15" s="1"/>
  <c r="D772" i="15"/>
  <c r="I772" i="15" s="1"/>
  <c r="J772" i="15" s="1"/>
  <c r="L771" i="15"/>
  <c r="Q771" i="15" s="1"/>
  <c r="R771" i="15" s="1"/>
  <c r="D771" i="15"/>
  <c r="I771" i="15" s="1"/>
  <c r="J771" i="15" s="1"/>
  <c r="L770" i="15"/>
  <c r="Q770" i="15" s="1"/>
  <c r="R770" i="15" s="1"/>
  <c r="D770" i="15"/>
  <c r="I770" i="15" s="1"/>
  <c r="J770" i="15" s="1"/>
  <c r="L769" i="15"/>
  <c r="Q769" i="15" s="1"/>
  <c r="R769" i="15" s="1"/>
  <c r="D769" i="15"/>
  <c r="I769" i="15" s="1"/>
  <c r="J769" i="15" s="1"/>
  <c r="L768" i="15"/>
  <c r="Q768" i="15" s="1"/>
  <c r="R768" i="15" s="1"/>
  <c r="D768" i="15"/>
  <c r="I768" i="15" s="1"/>
  <c r="J768" i="15" s="1"/>
  <c r="L767" i="15"/>
  <c r="Q767" i="15" s="1"/>
  <c r="R767" i="15" s="1"/>
  <c r="D767" i="15"/>
  <c r="I767" i="15" s="1"/>
  <c r="J767" i="15" s="1"/>
  <c r="L766" i="15"/>
  <c r="Q766" i="15" s="1"/>
  <c r="R766" i="15" s="1"/>
  <c r="D766" i="15"/>
  <c r="I766" i="15" s="1"/>
  <c r="J766" i="15" s="1"/>
  <c r="L765" i="15"/>
  <c r="Q765" i="15" s="1"/>
  <c r="R765" i="15" s="1"/>
  <c r="D765" i="15"/>
  <c r="I765" i="15" s="1"/>
  <c r="J765" i="15" s="1"/>
  <c r="L764" i="15"/>
  <c r="L763" i="15"/>
  <c r="Q763" i="15" s="1"/>
  <c r="R763" i="15" s="1"/>
  <c r="D763" i="15"/>
  <c r="I763" i="15" s="1"/>
  <c r="J763" i="15" s="1"/>
  <c r="L762" i="15"/>
  <c r="Q762" i="15" s="1"/>
  <c r="R762" i="15" s="1"/>
  <c r="D762" i="15"/>
  <c r="I762" i="15" s="1"/>
  <c r="J762" i="15" s="1"/>
  <c r="L761" i="15"/>
  <c r="Q761" i="15" s="1"/>
  <c r="R761" i="15" s="1"/>
  <c r="D761" i="15"/>
  <c r="I761" i="15" s="1"/>
  <c r="J761" i="15" s="1"/>
  <c r="L760" i="15"/>
  <c r="Q760" i="15" s="1"/>
  <c r="R760" i="15" s="1"/>
  <c r="D760" i="15"/>
  <c r="I760" i="15" s="1"/>
  <c r="J760" i="15" s="1"/>
  <c r="L759" i="15"/>
  <c r="Q759" i="15" s="1"/>
  <c r="R759" i="15" s="1"/>
  <c r="D759" i="15"/>
  <c r="I759" i="15" s="1"/>
  <c r="J759" i="15" s="1"/>
  <c r="L758" i="15"/>
  <c r="Q758" i="15" s="1"/>
  <c r="R758" i="15" s="1"/>
  <c r="D758" i="15"/>
  <c r="I758" i="15" s="1"/>
  <c r="J758" i="15" s="1"/>
  <c r="L757" i="15"/>
  <c r="Q757" i="15" s="1"/>
  <c r="R757" i="15" s="1"/>
  <c r="D757" i="15"/>
  <c r="I757" i="15" s="1"/>
  <c r="J757" i="15" s="1"/>
  <c r="L756" i="15"/>
  <c r="Q756" i="15" s="1"/>
  <c r="R756" i="15" s="1"/>
  <c r="D756" i="15"/>
  <c r="I756" i="15" s="1"/>
  <c r="J756" i="15" s="1"/>
  <c r="L755" i="15"/>
  <c r="Q755" i="15" s="1"/>
  <c r="R755" i="15" s="1"/>
  <c r="D755" i="15"/>
  <c r="I755" i="15" s="1"/>
  <c r="J755" i="15" s="1"/>
  <c r="L754" i="15"/>
  <c r="Q754" i="15" s="1"/>
  <c r="R754" i="15" s="1"/>
  <c r="D754" i="15"/>
  <c r="I754" i="15" s="1"/>
  <c r="J754" i="15" s="1"/>
  <c r="L753" i="15"/>
  <c r="Q753" i="15" s="1"/>
  <c r="R753" i="15" s="1"/>
  <c r="D753" i="15"/>
  <c r="I753" i="15" s="1"/>
  <c r="J753" i="15" s="1"/>
  <c r="L752" i="15"/>
  <c r="Q752" i="15" s="1"/>
  <c r="R752" i="15" s="1"/>
  <c r="D752" i="15"/>
  <c r="I752" i="15" s="1"/>
  <c r="J752" i="15" s="1"/>
  <c r="L751" i="15"/>
  <c r="L750" i="15"/>
  <c r="Q750" i="15" s="1"/>
  <c r="R750" i="15" s="1"/>
  <c r="D750" i="15"/>
  <c r="I750" i="15" s="1"/>
  <c r="J750" i="15" s="1"/>
  <c r="L749" i="15"/>
  <c r="Q749" i="15" s="1"/>
  <c r="R749" i="15" s="1"/>
  <c r="D749" i="15"/>
  <c r="I749" i="15" s="1"/>
  <c r="J749" i="15" s="1"/>
  <c r="L748" i="15"/>
  <c r="Q748" i="15" s="1"/>
  <c r="R748" i="15" s="1"/>
  <c r="D748" i="15"/>
  <c r="I748" i="15" s="1"/>
  <c r="J748" i="15" s="1"/>
  <c r="L747" i="15"/>
  <c r="Q747" i="15" s="1"/>
  <c r="R747" i="15" s="1"/>
  <c r="D747" i="15"/>
  <c r="I747" i="15" s="1"/>
  <c r="J747" i="15" s="1"/>
  <c r="L746" i="15"/>
  <c r="Q746" i="15" s="1"/>
  <c r="R746" i="15" s="1"/>
  <c r="D746" i="15"/>
  <c r="I746" i="15" s="1"/>
  <c r="J746" i="15" s="1"/>
  <c r="L745" i="15"/>
  <c r="Q745" i="15" s="1"/>
  <c r="R745" i="15" s="1"/>
  <c r="D745" i="15"/>
  <c r="I745" i="15" s="1"/>
  <c r="J745" i="15" s="1"/>
  <c r="L744" i="15"/>
  <c r="Q744" i="15" s="1"/>
  <c r="R744" i="15" s="1"/>
  <c r="D744" i="15"/>
  <c r="I744" i="15" s="1"/>
  <c r="J744" i="15" s="1"/>
  <c r="L743" i="15"/>
  <c r="Q743" i="15" s="1"/>
  <c r="R743" i="15" s="1"/>
  <c r="D743" i="15"/>
  <c r="I743" i="15" s="1"/>
  <c r="J743" i="15" s="1"/>
  <c r="L742" i="15"/>
  <c r="Q742" i="15" s="1"/>
  <c r="R742" i="15" s="1"/>
  <c r="D742" i="15"/>
  <c r="I742" i="15" s="1"/>
  <c r="J742" i="15" s="1"/>
  <c r="L741" i="15"/>
  <c r="Q741" i="15" s="1"/>
  <c r="R741" i="15" s="1"/>
  <c r="D741" i="15"/>
  <c r="I741" i="15" s="1"/>
  <c r="J741" i="15" s="1"/>
  <c r="L740" i="15"/>
  <c r="Q740" i="15" s="1"/>
  <c r="R740" i="15" s="1"/>
  <c r="D740" i="15"/>
  <c r="I740" i="15" s="1"/>
  <c r="J740" i="15" s="1"/>
  <c r="L739" i="15"/>
  <c r="Q739" i="15" s="1"/>
  <c r="R739" i="15" s="1"/>
  <c r="D739" i="15"/>
  <c r="I739" i="15" s="1"/>
  <c r="J739" i="15" s="1"/>
  <c r="L738" i="15"/>
  <c r="Q738" i="15" s="1"/>
  <c r="R738" i="15" s="1"/>
  <c r="D738" i="15"/>
  <c r="I738" i="15" s="1"/>
  <c r="J738" i="15" s="1"/>
  <c r="L737" i="15"/>
  <c r="Q737" i="15" s="1"/>
  <c r="R737" i="15" s="1"/>
  <c r="D737" i="15"/>
  <c r="I737" i="15" s="1"/>
  <c r="J737" i="15" s="1"/>
  <c r="L736" i="15"/>
  <c r="Q736" i="15" s="1"/>
  <c r="R736" i="15" s="1"/>
  <c r="D736" i="15"/>
  <c r="I736" i="15" s="1"/>
  <c r="J736" i="15" s="1"/>
  <c r="L735" i="15"/>
  <c r="Q735" i="15" s="1"/>
  <c r="R735" i="15" s="1"/>
  <c r="D735" i="15"/>
  <c r="I735" i="15" s="1"/>
  <c r="J735" i="15" s="1"/>
  <c r="L734" i="15"/>
  <c r="Q734" i="15" s="1"/>
  <c r="R734" i="15" s="1"/>
  <c r="D734" i="15"/>
  <c r="I734" i="15" s="1"/>
  <c r="J734" i="15" s="1"/>
  <c r="L733" i="15"/>
  <c r="Q733" i="15" s="1"/>
  <c r="R733" i="15" s="1"/>
  <c r="D733" i="15"/>
  <c r="I733" i="15" s="1"/>
  <c r="J733" i="15" s="1"/>
  <c r="L732" i="15"/>
  <c r="Q732" i="15" s="1"/>
  <c r="R732" i="15" s="1"/>
  <c r="D732" i="15"/>
  <c r="I732" i="15" s="1"/>
  <c r="J732" i="15" s="1"/>
  <c r="L731" i="15"/>
  <c r="Q731" i="15" s="1"/>
  <c r="R731" i="15" s="1"/>
  <c r="D731" i="15"/>
  <c r="I731" i="15" s="1"/>
  <c r="J731" i="15" s="1"/>
  <c r="L730" i="15"/>
  <c r="Q730" i="15" s="1"/>
  <c r="R730" i="15" s="1"/>
  <c r="D730" i="15"/>
  <c r="I730" i="15" s="1"/>
  <c r="J730" i="15" s="1"/>
  <c r="L729" i="15"/>
  <c r="Q729" i="15" s="1"/>
  <c r="R729" i="15" s="1"/>
  <c r="D729" i="15"/>
  <c r="I729" i="15" s="1"/>
  <c r="J729" i="15" s="1"/>
  <c r="L728" i="15"/>
  <c r="Q728" i="15" s="1"/>
  <c r="R728" i="15" s="1"/>
  <c r="D728" i="15"/>
  <c r="I728" i="15" s="1"/>
  <c r="J728" i="15" s="1"/>
  <c r="L727" i="15"/>
  <c r="Q727" i="15" s="1"/>
  <c r="R727" i="15" s="1"/>
  <c r="D727" i="15"/>
  <c r="I727" i="15" s="1"/>
  <c r="J727" i="15" s="1"/>
  <c r="L726" i="15"/>
  <c r="Q726" i="15" s="1"/>
  <c r="R726" i="15" s="1"/>
  <c r="D726" i="15"/>
  <c r="I726" i="15" s="1"/>
  <c r="J726" i="15" s="1"/>
  <c r="L725" i="15"/>
  <c r="Q725" i="15" s="1"/>
  <c r="R725" i="15" s="1"/>
  <c r="D725" i="15"/>
  <c r="I725" i="15" s="1"/>
  <c r="J725" i="15" s="1"/>
  <c r="L724" i="15"/>
  <c r="Q724" i="15" s="1"/>
  <c r="R724" i="15" s="1"/>
  <c r="D724" i="15"/>
  <c r="I724" i="15" s="1"/>
  <c r="J724" i="15" s="1"/>
  <c r="L723" i="15"/>
  <c r="Q723" i="15" s="1"/>
  <c r="R723" i="15" s="1"/>
  <c r="D723" i="15"/>
  <c r="I723" i="15" s="1"/>
  <c r="J723" i="15" s="1"/>
  <c r="L722" i="15"/>
  <c r="L721" i="15"/>
  <c r="Q721" i="15" s="1"/>
  <c r="R721" i="15" s="1"/>
  <c r="D721" i="15"/>
  <c r="I721" i="15" s="1"/>
  <c r="J721" i="15" s="1"/>
  <c r="L720" i="15"/>
  <c r="Q720" i="15" s="1"/>
  <c r="R720" i="15" s="1"/>
  <c r="D720" i="15"/>
  <c r="I720" i="15" s="1"/>
  <c r="J720" i="15" s="1"/>
  <c r="L719" i="15"/>
  <c r="Q719" i="15" s="1"/>
  <c r="R719" i="15" s="1"/>
  <c r="D719" i="15"/>
  <c r="I719" i="15" s="1"/>
  <c r="J719" i="15" s="1"/>
  <c r="L718" i="15"/>
  <c r="Q718" i="15" s="1"/>
  <c r="R718" i="15" s="1"/>
  <c r="D718" i="15"/>
  <c r="I718" i="15" s="1"/>
  <c r="J718" i="15" s="1"/>
  <c r="L717" i="15"/>
  <c r="Q717" i="15" s="1"/>
  <c r="R717" i="15" s="1"/>
  <c r="D717" i="15"/>
  <c r="I717" i="15" s="1"/>
  <c r="J717" i="15" s="1"/>
  <c r="L716" i="15"/>
  <c r="Q716" i="15" s="1"/>
  <c r="R716" i="15" s="1"/>
  <c r="D716" i="15"/>
  <c r="I716" i="15" s="1"/>
  <c r="J716" i="15" s="1"/>
  <c r="L715" i="15"/>
  <c r="Q715" i="15" s="1"/>
  <c r="R715" i="15" s="1"/>
  <c r="D715" i="15"/>
  <c r="I715" i="15" s="1"/>
  <c r="J715" i="15" s="1"/>
  <c r="L714" i="15"/>
  <c r="Q714" i="15" s="1"/>
  <c r="R714" i="15" s="1"/>
  <c r="D714" i="15"/>
  <c r="I714" i="15" s="1"/>
  <c r="J714" i="15" s="1"/>
  <c r="L713" i="15"/>
  <c r="Q713" i="15" s="1"/>
  <c r="R713" i="15" s="1"/>
  <c r="D713" i="15"/>
  <c r="I713" i="15" s="1"/>
  <c r="J713" i="15" s="1"/>
  <c r="L712" i="15"/>
  <c r="Q712" i="15" s="1"/>
  <c r="R712" i="15" s="1"/>
  <c r="D712" i="15"/>
  <c r="I712" i="15" s="1"/>
  <c r="J712" i="15" s="1"/>
  <c r="L711" i="15"/>
  <c r="Q711" i="15" s="1"/>
  <c r="R711" i="15" s="1"/>
  <c r="H711" i="15"/>
  <c r="D711" i="15"/>
  <c r="L710" i="15"/>
  <c r="Q710" i="15" s="1"/>
  <c r="R710" i="15" s="1"/>
  <c r="H710" i="15"/>
  <c r="D710" i="15"/>
  <c r="L709" i="15"/>
  <c r="Q709" i="15" s="1"/>
  <c r="R709" i="15" s="1"/>
  <c r="H709" i="15"/>
  <c r="D709" i="15"/>
  <c r="L708" i="15"/>
  <c r="Q708" i="15" s="1"/>
  <c r="R708" i="15" s="1"/>
  <c r="D708" i="15"/>
  <c r="I708" i="15" s="1"/>
  <c r="J708" i="15" s="1"/>
  <c r="L707" i="15"/>
  <c r="Q707" i="15" s="1"/>
  <c r="R707" i="15" s="1"/>
  <c r="H707" i="15"/>
  <c r="D707" i="15"/>
  <c r="L706" i="15"/>
  <c r="Q706" i="15" s="1"/>
  <c r="R706" i="15" s="1"/>
  <c r="D706" i="15"/>
  <c r="I706" i="15" s="1"/>
  <c r="J706" i="15" s="1"/>
  <c r="L705" i="15"/>
  <c r="Q705" i="15" s="1"/>
  <c r="R705" i="15" s="1"/>
  <c r="H705" i="15"/>
  <c r="D705" i="15"/>
  <c r="L704" i="15"/>
  <c r="Q704" i="15" s="1"/>
  <c r="R704" i="15" s="1"/>
  <c r="H704" i="15"/>
  <c r="D704" i="15"/>
  <c r="L703" i="15"/>
  <c r="Q703" i="15" s="1"/>
  <c r="R703" i="15" s="1"/>
  <c r="D703" i="15"/>
  <c r="I703" i="15" s="1"/>
  <c r="J703" i="15" s="1"/>
  <c r="L702" i="15"/>
  <c r="Q702" i="15" s="1"/>
  <c r="R702" i="15" s="1"/>
  <c r="D702" i="15"/>
  <c r="I702" i="15" s="1"/>
  <c r="J702" i="15" s="1"/>
  <c r="L701" i="15"/>
  <c r="Q701" i="15" s="1"/>
  <c r="R701" i="15" s="1"/>
  <c r="H701" i="15"/>
  <c r="D701" i="15"/>
  <c r="L700" i="15"/>
  <c r="Q700" i="15" s="1"/>
  <c r="R700" i="15" s="1"/>
  <c r="D700" i="15"/>
  <c r="I700" i="15" s="1"/>
  <c r="J700" i="15" s="1"/>
  <c r="L699" i="15"/>
  <c r="Q699" i="15" s="1"/>
  <c r="R699" i="15" s="1"/>
  <c r="D699" i="15"/>
  <c r="I699" i="15" s="1"/>
  <c r="J699" i="15" s="1"/>
  <c r="L698" i="15"/>
  <c r="Q698" i="15" s="1"/>
  <c r="R698" i="15" s="1"/>
  <c r="H698" i="15"/>
  <c r="D698" i="15"/>
  <c r="L697" i="15"/>
  <c r="Q697" i="15" s="1"/>
  <c r="R697" i="15" s="1"/>
  <c r="D697" i="15"/>
  <c r="I697" i="15" s="1"/>
  <c r="J697" i="15" s="1"/>
  <c r="L696" i="15"/>
  <c r="Q696" i="15" s="1"/>
  <c r="R696" i="15" s="1"/>
  <c r="D696" i="15"/>
  <c r="I696" i="15" s="1"/>
  <c r="J696" i="15" s="1"/>
  <c r="L695" i="15"/>
  <c r="Q695" i="15" s="1"/>
  <c r="R695" i="15" s="1"/>
  <c r="D695" i="15"/>
  <c r="I695" i="15" s="1"/>
  <c r="J695" i="15" s="1"/>
  <c r="L694" i="15"/>
  <c r="Q694" i="15" s="1"/>
  <c r="R694" i="15" s="1"/>
  <c r="D694" i="15"/>
  <c r="I694" i="15" s="1"/>
  <c r="J694" i="15" s="1"/>
  <c r="L693" i="15"/>
  <c r="Q693" i="15" s="1"/>
  <c r="R693" i="15" s="1"/>
  <c r="D693" i="15"/>
  <c r="I693" i="15" s="1"/>
  <c r="J693" i="15" s="1"/>
  <c r="L692" i="15"/>
  <c r="Q692" i="15" s="1"/>
  <c r="R692" i="15" s="1"/>
  <c r="D692" i="15"/>
  <c r="I692" i="15" s="1"/>
  <c r="J692" i="15" s="1"/>
  <c r="L691" i="15"/>
  <c r="Q691" i="15" s="1"/>
  <c r="R691" i="15" s="1"/>
  <c r="H691" i="15"/>
  <c r="D691" i="15"/>
  <c r="L690" i="15"/>
  <c r="Q690" i="15" s="1"/>
  <c r="R690" i="15" s="1"/>
  <c r="H690" i="15"/>
  <c r="D690" i="15"/>
  <c r="L689" i="15"/>
  <c r="Q689" i="15" s="1"/>
  <c r="R689" i="15" s="1"/>
  <c r="D689" i="15"/>
  <c r="I689" i="15" s="1"/>
  <c r="J689" i="15" s="1"/>
  <c r="L688" i="15"/>
  <c r="Q688" i="15" s="1"/>
  <c r="R688" i="15" s="1"/>
  <c r="H688" i="15"/>
  <c r="D688" i="15"/>
  <c r="L687" i="15"/>
  <c r="Q687" i="15" s="1"/>
  <c r="R687" i="15" s="1"/>
  <c r="H687" i="15"/>
  <c r="D687" i="15"/>
  <c r="L686" i="15"/>
  <c r="Q686" i="15" s="1"/>
  <c r="R686" i="15" s="1"/>
  <c r="D686" i="15"/>
  <c r="I686" i="15" s="1"/>
  <c r="J686" i="15" s="1"/>
  <c r="L685" i="15"/>
  <c r="Q685" i="15" s="1"/>
  <c r="R685" i="15" s="1"/>
  <c r="D685" i="15"/>
  <c r="I685" i="15" s="1"/>
  <c r="J685" i="15" s="1"/>
  <c r="L684" i="15"/>
  <c r="Q684" i="15" s="1"/>
  <c r="R684" i="15" s="1"/>
  <c r="H684" i="15"/>
  <c r="D684" i="15"/>
  <c r="L683" i="15"/>
  <c r="L682" i="15"/>
  <c r="Q682" i="15" s="1"/>
  <c r="R682" i="15" s="1"/>
  <c r="D682" i="15"/>
  <c r="I682" i="15" s="1"/>
  <c r="J682" i="15" s="1"/>
  <c r="L681" i="15"/>
  <c r="Q681" i="15" s="1"/>
  <c r="R681" i="15" s="1"/>
  <c r="D681" i="15"/>
  <c r="I681" i="15" s="1"/>
  <c r="J681" i="15" s="1"/>
  <c r="L680" i="15"/>
  <c r="Q680" i="15" s="1"/>
  <c r="R680" i="15" s="1"/>
  <c r="D680" i="15"/>
  <c r="I680" i="15" s="1"/>
  <c r="J680" i="15" s="1"/>
  <c r="L679" i="15"/>
  <c r="Q679" i="15" s="1"/>
  <c r="R679" i="15" s="1"/>
  <c r="D679" i="15"/>
  <c r="I679" i="15" s="1"/>
  <c r="J679" i="15" s="1"/>
  <c r="L678" i="15"/>
  <c r="Q678" i="15" s="1"/>
  <c r="R678" i="15" s="1"/>
  <c r="D678" i="15"/>
  <c r="I678" i="15" s="1"/>
  <c r="J678" i="15" s="1"/>
  <c r="L677" i="15"/>
  <c r="Q677" i="15" s="1"/>
  <c r="R677" i="15" s="1"/>
  <c r="D677" i="15"/>
  <c r="I677" i="15" s="1"/>
  <c r="J677" i="15" s="1"/>
  <c r="L676" i="15"/>
  <c r="Q676" i="15" s="1"/>
  <c r="R676" i="15" s="1"/>
  <c r="D676" i="15"/>
  <c r="I676" i="15" s="1"/>
  <c r="J676" i="15" s="1"/>
  <c r="L675" i="15"/>
  <c r="Q675" i="15" s="1"/>
  <c r="R675" i="15" s="1"/>
  <c r="D675" i="15"/>
  <c r="I675" i="15" s="1"/>
  <c r="J675" i="15" s="1"/>
  <c r="L674" i="15"/>
  <c r="Q674" i="15" s="1"/>
  <c r="R674" i="15" s="1"/>
  <c r="D674" i="15"/>
  <c r="I674" i="15" s="1"/>
  <c r="J674" i="15" s="1"/>
  <c r="L673" i="15"/>
  <c r="Q673" i="15" s="1"/>
  <c r="R673" i="15" s="1"/>
  <c r="D673" i="15"/>
  <c r="I673" i="15" s="1"/>
  <c r="J673" i="15" s="1"/>
  <c r="L672" i="15"/>
  <c r="Q672" i="15" s="1"/>
  <c r="R672" i="15" s="1"/>
  <c r="D672" i="15"/>
  <c r="I672" i="15" s="1"/>
  <c r="J672" i="15" s="1"/>
  <c r="L671" i="15"/>
  <c r="Q671" i="15" s="1"/>
  <c r="R671" i="15" s="1"/>
  <c r="D671" i="15"/>
  <c r="I671" i="15" s="1"/>
  <c r="J671" i="15" s="1"/>
  <c r="L670" i="15"/>
  <c r="Q670" i="15" s="1"/>
  <c r="R670" i="15" s="1"/>
  <c r="D670" i="15"/>
  <c r="I670" i="15" s="1"/>
  <c r="J670" i="15" s="1"/>
  <c r="L669" i="15"/>
  <c r="Q669" i="15" s="1"/>
  <c r="R669" i="15" s="1"/>
  <c r="D669" i="15"/>
  <c r="I669" i="15" s="1"/>
  <c r="J669" i="15" s="1"/>
  <c r="L668" i="15"/>
  <c r="Q668" i="15" s="1"/>
  <c r="R668" i="15" s="1"/>
  <c r="D668" i="15"/>
  <c r="I668" i="15" s="1"/>
  <c r="J668" i="15" s="1"/>
  <c r="L667" i="15"/>
  <c r="Q667" i="15" s="1"/>
  <c r="R667" i="15" s="1"/>
  <c r="D667" i="15"/>
  <c r="I667" i="15" s="1"/>
  <c r="J667" i="15" s="1"/>
  <c r="L666" i="15"/>
  <c r="Q666" i="15" s="1"/>
  <c r="R666" i="15" s="1"/>
  <c r="D666" i="15"/>
  <c r="I666" i="15" s="1"/>
  <c r="J666" i="15" s="1"/>
  <c r="L665" i="15"/>
  <c r="Q665" i="15" s="1"/>
  <c r="R665" i="15" s="1"/>
  <c r="D665" i="15"/>
  <c r="I665" i="15" s="1"/>
  <c r="J665" i="15" s="1"/>
  <c r="L664" i="15"/>
  <c r="Q664" i="15" s="1"/>
  <c r="R664" i="15" s="1"/>
  <c r="D664" i="15"/>
  <c r="I664" i="15" s="1"/>
  <c r="J664" i="15" s="1"/>
  <c r="L663" i="15"/>
  <c r="Q663" i="15" s="1"/>
  <c r="R663" i="15" s="1"/>
  <c r="D663" i="15"/>
  <c r="I663" i="15" s="1"/>
  <c r="J663" i="15" s="1"/>
  <c r="L662" i="15"/>
  <c r="Q662" i="15" s="1"/>
  <c r="R662" i="15" s="1"/>
  <c r="D662" i="15"/>
  <c r="I662" i="15" s="1"/>
  <c r="J662" i="15" s="1"/>
  <c r="L661" i="15"/>
  <c r="Q661" i="15" s="1"/>
  <c r="R661" i="15" s="1"/>
  <c r="D661" i="15"/>
  <c r="I661" i="15" s="1"/>
  <c r="J661" i="15" s="1"/>
  <c r="L660" i="15"/>
  <c r="Q660" i="15" s="1"/>
  <c r="R660" i="15" s="1"/>
  <c r="D660" i="15"/>
  <c r="I660" i="15" s="1"/>
  <c r="J660" i="15" s="1"/>
  <c r="L659" i="15"/>
  <c r="Q659" i="15" s="1"/>
  <c r="R659" i="15" s="1"/>
  <c r="D659" i="15"/>
  <c r="I659" i="15" s="1"/>
  <c r="J659" i="15" s="1"/>
  <c r="L658" i="15"/>
  <c r="Q658" i="15" s="1"/>
  <c r="R658" i="15" s="1"/>
  <c r="D658" i="15"/>
  <c r="I658" i="15" s="1"/>
  <c r="J658" i="15" s="1"/>
  <c r="L657" i="15"/>
  <c r="Q657" i="15" s="1"/>
  <c r="R657" i="15" s="1"/>
  <c r="D657" i="15"/>
  <c r="I657" i="15" s="1"/>
  <c r="J657" i="15" s="1"/>
  <c r="L656" i="15"/>
  <c r="Q656" i="15" s="1"/>
  <c r="R656" i="15" s="1"/>
  <c r="D656" i="15"/>
  <c r="I656" i="15" s="1"/>
  <c r="J656" i="15" s="1"/>
  <c r="L655" i="15"/>
  <c r="Q655" i="15" s="1"/>
  <c r="R655" i="15" s="1"/>
  <c r="D655" i="15"/>
  <c r="I655" i="15" s="1"/>
  <c r="J655" i="15" s="1"/>
  <c r="L654" i="15"/>
  <c r="Q654" i="15" s="1"/>
  <c r="R654" i="15" s="1"/>
  <c r="D654" i="15"/>
  <c r="I654" i="15" s="1"/>
  <c r="J654" i="15" s="1"/>
  <c r="L653" i="15"/>
  <c r="Q653" i="15" s="1"/>
  <c r="R653" i="15" s="1"/>
  <c r="D653" i="15"/>
  <c r="I653" i="15" s="1"/>
  <c r="J653" i="15" s="1"/>
  <c r="L652" i="15"/>
  <c r="Q652" i="15" s="1"/>
  <c r="R652" i="15" s="1"/>
  <c r="D652" i="15"/>
  <c r="I652" i="15" s="1"/>
  <c r="J652" i="15" s="1"/>
  <c r="L651" i="15"/>
  <c r="Q651" i="15" s="1"/>
  <c r="R651" i="15" s="1"/>
  <c r="D651" i="15"/>
  <c r="I651" i="15" s="1"/>
  <c r="J651" i="15" s="1"/>
  <c r="L650" i="15"/>
  <c r="Q650" i="15" s="1"/>
  <c r="R650" i="15" s="1"/>
  <c r="D650" i="15"/>
  <c r="I650" i="15" s="1"/>
  <c r="J650" i="15" s="1"/>
  <c r="L649" i="15"/>
  <c r="Q649" i="15" s="1"/>
  <c r="R649" i="15" s="1"/>
  <c r="D649" i="15"/>
  <c r="I649" i="15" s="1"/>
  <c r="J649" i="15" s="1"/>
  <c r="L648" i="15"/>
  <c r="Q648" i="15" s="1"/>
  <c r="R648" i="15" s="1"/>
  <c r="D648" i="15"/>
  <c r="I648" i="15" s="1"/>
  <c r="J648" i="15" s="1"/>
  <c r="L647" i="15"/>
  <c r="Q647" i="15" s="1"/>
  <c r="R647" i="15" s="1"/>
  <c r="D647" i="15"/>
  <c r="I647" i="15" s="1"/>
  <c r="J647" i="15" s="1"/>
  <c r="L646" i="15"/>
  <c r="Q646" i="15" s="1"/>
  <c r="R646" i="15" s="1"/>
  <c r="D646" i="15"/>
  <c r="I646" i="15" s="1"/>
  <c r="J646" i="15" s="1"/>
  <c r="L645" i="15"/>
  <c r="Q645" i="15" s="1"/>
  <c r="R645" i="15" s="1"/>
  <c r="D645" i="15"/>
  <c r="I645" i="15" s="1"/>
  <c r="J645" i="15" s="1"/>
  <c r="L644" i="15"/>
  <c r="Q644" i="15" s="1"/>
  <c r="R644" i="15" s="1"/>
  <c r="D644" i="15"/>
  <c r="I644" i="15" s="1"/>
  <c r="J644" i="15" s="1"/>
  <c r="L643" i="15"/>
  <c r="Q643" i="15" s="1"/>
  <c r="R643" i="15" s="1"/>
  <c r="D643" i="15"/>
  <c r="I643" i="15" s="1"/>
  <c r="J643" i="15" s="1"/>
  <c r="L642" i="15"/>
  <c r="L641" i="15"/>
  <c r="Q641" i="15" s="1"/>
  <c r="R641" i="15" s="1"/>
  <c r="D641" i="15"/>
  <c r="I641" i="15" s="1"/>
  <c r="J641" i="15" s="1"/>
  <c r="L640" i="15"/>
  <c r="Q640" i="15" s="1"/>
  <c r="R640" i="15" s="1"/>
  <c r="D640" i="15"/>
  <c r="I640" i="15" s="1"/>
  <c r="J640" i="15" s="1"/>
  <c r="L639" i="15"/>
  <c r="Q639" i="15" s="1"/>
  <c r="R639" i="15" s="1"/>
  <c r="D639" i="15"/>
  <c r="I639" i="15" s="1"/>
  <c r="J639" i="15" s="1"/>
  <c r="L638" i="15"/>
  <c r="Q638" i="15" s="1"/>
  <c r="R638" i="15" s="1"/>
  <c r="D638" i="15"/>
  <c r="I638" i="15" s="1"/>
  <c r="J638" i="15" s="1"/>
  <c r="L637" i="15"/>
  <c r="Q637" i="15" s="1"/>
  <c r="R637" i="15" s="1"/>
  <c r="D637" i="15"/>
  <c r="I637" i="15" s="1"/>
  <c r="J637" i="15" s="1"/>
  <c r="L636" i="15"/>
  <c r="Q636" i="15" s="1"/>
  <c r="R636" i="15" s="1"/>
  <c r="D636" i="15"/>
  <c r="I636" i="15" s="1"/>
  <c r="J636" i="15" s="1"/>
  <c r="L635" i="15"/>
  <c r="Q635" i="15" s="1"/>
  <c r="R635" i="15" s="1"/>
  <c r="D635" i="15"/>
  <c r="I635" i="15" s="1"/>
  <c r="J635" i="15" s="1"/>
  <c r="L634" i="15"/>
  <c r="Q634" i="15" s="1"/>
  <c r="R634" i="15" s="1"/>
  <c r="D634" i="15"/>
  <c r="I634" i="15" s="1"/>
  <c r="J634" i="15" s="1"/>
  <c r="L633" i="15"/>
  <c r="Q633" i="15" s="1"/>
  <c r="R633" i="15" s="1"/>
  <c r="D633" i="15"/>
  <c r="I633" i="15" s="1"/>
  <c r="J633" i="15" s="1"/>
  <c r="L632" i="15"/>
  <c r="Q632" i="15" s="1"/>
  <c r="R632" i="15" s="1"/>
  <c r="D632" i="15"/>
  <c r="I632" i="15" s="1"/>
  <c r="J632" i="15" s="1"/>
  <c r="L631" i="15"/>
  <c r="Q631" i="15" s="1"/>
  <c r="R631" i="15" s="1"/>
  <c r="D631" i="15"/>
  <c r="I631" i="15" s="1"/>
  <c r="J631" i="15" s="1"/>
  <c r="L630" i="15"/>
  <c r="Q630" i="15" s="1"/>
  <c r="R630" i="15" s="1"/>
  <c r="D630" i="15"/>
  <c r="I630" i="15" s="1"/>
  <c r="J630" i="15" s="1"/>
  <c r="L629" i="15"/>
  <c r="Q629" i="15" s="1"/>
  <c r="R629" i="15" s="1"/>
  <c r="D629" i="15"/>
  <c r="I629" i="15" s="1"/>
  <c r="J629" i="15" s="1"/>
  <c r="L628" i="15"/>
  <c r="Q628" i="15" s="1"/>
  <c r="R628" i="15" s="1"/>
  <c r="D628" i="15"/>
  <c r="I628" i="15" s="1"/>
  <c r="J628" i="15" s="1"/>
  <c r="L627" i="15"/>
  <c r="Q627" i="15" s="1"/>
  <c r="R627" i="15" s="1"/>
  <c r="D627" i="15"/>
  <c r="I627" i="15" s="1"/>
  <c r="J627" i="15" s="1"/>
  <c r="L626" i="15"/>
  <c r="Q626" i="15" s="1"/>
  <c r="R626" i="15" s="1"/>
  <c r="D626" i="15"/>
  <c r="I626" i="15" s="1"/>
  <c r="J626" i="15" s="1"/>
  <c r="L624" i="15"/>
  <c r="Q624" i="15" s="1"/>
  <c r="R624" i="15" s="1"/>
  <c r="D624" i="15"/>
  <c r="I624" i="15" s="1"/>
  <c r="J624" i="15" s="1"/>
  <c r="L623" i="15"/>
  <c r="Q623" i="15" s="1"/>
  <c r="R623" i="15" s="1"/>
  <c r="D623" i="15"/>
  <c r="I623" i="15" s="1"/>
  <c r="J623" i="15" s="1"/>
  <c r="L622" i="15"/>
  <c r="Q622" i="15" s="1"/>
  <c r="R622" i="15" s="1"/>
  <c r="D622" i="15"/>
  <c r="I622" i="15" s="1"/>
  <c r="J622" i="15" s="1"/>
  <c r="L621" i="15"/>
  <c r="Q621" i="15" s="1"/>
  <c r="R621" i="15" s="1"/>
  <c r="D621" i="15"/>
  <c r="I621" i="15" s="1"/>
  <c r="J621" i="15" s="1"/>
  <c r="L620" i="15"/>
  <c r="Q620" i="15" s="1"/>
  <c r="R620" i="15" s="1"/>
  <c r="D620" i="15"/>
  <c r="I620" i="15" s="1"/>
  <c r="J620" i="15" s="1"/>
  <c r="L619" i="15"/>
  <c r="Q619" i="15" s="1"/>
  <c r="R619" i="15" s="1"/>
  <c r="D619" i="15"/>
  <c r="I619" i="15" s="1"/>
  <c r="J619" i="15" s="1"/>
  <c r="L618" i="15"/>
  <c r="Q618" i="15" s="1"/>
  <c r="R618" i="15" s="1"/>
  <c r="D618" i="15"/>
  <c r="I618" i="15" s="1"/>
  <c r="J618" i="15" s="1"/>
  <c r="L617" i="15"/>
  <c r="Q617" i="15" s="1"/>
  <c r="R617" i="15" s="1"/>
  <c r="D617" i="15"/>
  <c r="I617" i="15" s="1"/>
  <c r="J617" i="15" s="1"/>
  <c r="L616" i="15"/>
  <c r="Q616" i="15" s="1"/>
  <c r="R616" i="15" s="1"/>
  <c r="D616" i="15"/>
  <c r="I616" i="15" s="1"/>
  <c r="J616" i="15" s="1"/>
  <c r="L615" i="15"/>
  <c r="Q615" i="15" s="1"/>
  <c r="R615" i="15" s="1"/>
  <c r="D615" i="15"/>
  <c r="I615" i="15" s="1"/>
  <c r="J615" i="15" s="1"/>
  <c r="L614" i="15"/>
  <c r="Q614" i="15" s="1"/>
  <c r="R614" i="15" s="1"/>
  <c r="D614" i="15"/>
  <c r="I614" i="15" s="1"/>
  <c r="J614" i="15" s="1"/>
  <c r="L613" i="15"/>
  <c r="Q613" i="15" s="1"/>
  <c r="R613" i="15" s="1"/>
  <c r="D613" i="15"/>
  <c r="I613" i="15" s="1"/>
  <c r="J613" i="15" s="1"/>
  <c r="L612" i="15"/>
  <c r="Q612" i="15" s="1"/>
  <c r="R612" i="15" s="1"/>
  <c r="D612" i="15"/>
  <c r="I612" i="15" s="1"/>
  <c r="J612" i="15" s="1"/>
  <c r="L611" i="15"/>
  <c r="Q611" i="15" s="1"/>
  <c r="R611" i="15" s="1"/>
  <c r="D611" i="15"/>
  <c r="I611" i="15" s="1"/>
  <c r="J611" i="15" s="1"/>
  <c r="L610" i="15"/>
  <c r="Q610" i="15" s="1"/>
  <c r="R610" i="15" s="1"/>
  <c r="D610" i="15"/>
  <c r="I610" i="15" s="1"/>
  <c r="J610" i="15" s="1"/>
  <c r="L609" i="15"/>
  <c r="Q609" i="15" s="1"/>
  <c r="R609" i="15" s="1"/>
  <c r="D609" i="15"/>
  <c r="I609" i="15" s="1"/>
  <c r="J609" i="15" s="1"/>
  <c r="L608" i="15"/>
  <c r="Q608" i="15" s="1"/>
  <c r="R608" i="15" s="1"/>
  <c r="D608" i="15"/>
  <c r="I608" i="15" s="1"/>
  <c r="J608" i="15" s="1"/>
  <c r="L607" i="15"/>
  <c r="Q607" i="15" s="1"/>
  <c r="R607" i="15" s="1"/>
  <c r="D607" i="15"/>
  <c r="I607" i="15" s="1"/>
  <c r="J607" i="15" s="1"/>
  <c r="L606" i="15"/>
  <c r="Q606" i="15" s="1"/>
  <c r="R606" i="15" s="1"/>
  <c r="D606" i="15"/>
  <c r="I606" i="15" s="1"/>
  <c r="J606" i="15" s="1"/>
  <c r="L605" i="15"/>
  <c r="Q605" i="15" s="1"/>
  <c r="R605" i="15" s="1"/>
  <c r="D605" i="15"/>
  <c r="I605" i="15" s="1"/>
  <c r="J605" i="15" s="1"/>
  <c r="L604" i="15"/>
  <c r="Q604" i="15" s="1"/>
  <c r="R604" i="15" s="1"/>
  <c r="D604" i="15"/>
  <c r="I604" i="15" s="1"/>
  <c r="J604" i="15" s="1"/>
  <c r="L603" i="15"/>
  <c r="Q603" i="15" s="1"/>
  <c r="R603" i="15" s="1"/>
  <c r="D603" i="15"/>
  <c r="I603" i="15" s="1"/>
  <c r="J603" i="15" s="1"/>
  <c r="L602" i="15"/>
  <c r="Q602" i="15" s="1"/>
  <c r="R602" i="15" s="1"/>
  <c r="D602" i="15"/>
  <c r="I602" i="15" s="1"/>
  <c r="J602" i="15" s="1"/>
  <c r="L601" i="15"/>
  <c r="L600" i="15"/>
  <c r="Q600" i="15" s="1"/>
  <c r="R600" i="15" s="1"/>
  <c r="D600" i="15"/>
  <c r="I600" i="15" s="1"/>
  <c r="J600" i="15" s="1"/>
  <c r="L599" i="15"/>
  <c r="Q599" i="15" s="1"/>
  <c r="R599" i="15" s="1"/>
  <c r="D599" i="15"/>
  <c r="I599" i="15" s="1"/>
  <c r="J599" i="15" s="1"/>
  <c r="L598" i="15"/>
  <c r="Q598" i="15" s="1"/>
  <c r="R598" i="15" s="1"/>
  <c r="D598" i="15"/>
  <c r="I598" i="15" s="1"/>
  <c r="J598" i="15" s="1"/>
  <c r="L597" i="15"/>
  <c r="Q597" i="15" s="1"/>
  <c r="R597" i="15" s="1"/>
  <c r="D597" i="15"/>
  <c r="I597" i="15" s="1"/>
  <c r="J597" i="15" s="1"/>
  <c r="L596" i="15"/>
  <c r="Q596" i="15" s="1"/>
  <c r="R596" i="15" s="1"/>
  <c r="D596" i="15"/>
  <c r="I596" i="15" s="1"/>
  <c r="J596" i="15" s="1"/>
  <c r="L595" i="15"/>
  <c r="Q595" i="15" s="1"/>
  <c r="R595" i="15" s="1"/>
  <c r="D595" i="15"/>
  <c r="I595" i="15" s="1"/>
  <c r="J595" i="15" s="1"/>
  <c r="L594" i="15"/>
  <c r="Q594" i="15" s="1"/>
  <c r="R594" i="15" s="1"/>
  <c r="D594" i="15"/>
  <c r="I594" i="15" s="1"/>
  <c r="J594" i="15" s="1"/>
  <c r="L593" i="15"/>
  <c r="Q593" i="15" s="1"/>
  <c r="R593" i="15" s="1"/>
  <c r="D593" i="15"/>
  <c r="I593" i="15" s="1"/>
  <c r="J593" i="15" s="1"/>
  <c r="L592" i="15"/>
  <c r="Q592" i="15" s="1"/>
  <c r="R592" i="15" s="1"/>
  <c r="D592" i="15"/>
  <c r="I592" i="15" s="1"/>
  <c r="J592" i="15" s="1"/>
  <c r="L591" i="15"/>
  <c r="Q591" i="15" s="1"/>
  <c r="R591" i="15" s="1"/>
  <c r="D591" i="15"/>
  <c r="I591" i="15" s="1"/>
  <c r="J591" i="15" s="1"/>
  <c r="L590" i="15"/>
  <c r="Q590" i="15" s="1"/>
  <c r="R590" i="15" s="1"/>
  <c r="D590" i="15"/>
  <c r="I590" i="15" s="1"/>
  <c r="J590" i="15" s="1"/>
  <c r="L589" i="15"/>
  <c r="Q589" i="15" s="1"/>
  <c r="R589" i="15" s="1"/>
  <c r="D589" i="15"/>
  <c r="I589" i="15" s="1"/>
  <c r="J589" i="15" s="1"/>
  <c r="L588" i="15"/>
  <c r="Q588" i="15" s="1"/>
  <c r="R588" i="15" s="1"/>
  <c r="D588" i="15"/>
  <c r="I588" i="15" s="1"/>
  <c r="J588" i="15" s="1"/>
  <c r="L587" i="15"/>
  <c r="Q587" i="15" s="1"/>
  <c r="R587" i="15" s="1"/>
  <c r="D587" i="15"/>
  <c r="I587" i="15" s="1"/>
  <c r="J587" i="15" s="1"/>
  <c r="L586" i="15"/>
  <c r="L585" i="15"/>
  <c r="Q585" i="15" s="1"/>
  <c r="R585" i="15" s="1"/>
  <c r="D585" i="15"/>
  <c r="I585" i="15" s="1"/>
  <c r="J585" i="15" s="1"/>
  <c r="L584" i="15"/>
  <c r="Q584" i="15" s="1"/>
  <c r="R584" i="15" s="1"/>
  <c r="D584" i="15"/>
  <c r="I584" i="15" s="1"/>
  <c r="J584" i="15" s="1"/>
  <c r="L583" i="15"/>
  <c r="Q583" i="15" s="1"/>
  <c r="R583" i="15" s="1"/>
  <c r="D583" i="15"/>
  <c r="I583" i="15" s="1"/>
  <c r="J583" i="15" s="1"/>
  <c r="L582" i="15"/>
  <c r="Q582" i="15" s="1"/>
  <c r="R582" i="15" s="1"/>
  <c r="D582" i="15"/>
  <c r="I582" i="15" s="1"/>
  <c r="J582" i="15" s="1"/>
  <c r="L581" i="15"/>
  <c r="Q581" i="15" s="1"/>
  <c r="R581" i="15" s="1"/>
  <c r="D581" i="15"/>
  <c r="I581" i="15" s="1"/>
  <c r="J581" i="15" s="1"/>
  <c r="L580" i="15"/>
  <c r="Q580" i="15" s="1"/>
  <c r="R580" i="15" s="1"/>
  <c r="D580" i="15"/>
  <c r="I580" i="15" s="1"/>
  <c r="J580" i="15" s="1"/>
  <c r="L579" i="15"/>
  <c r="Q579" i="15" s="1"/>
  <c r="R579" i="15" s="1"/>
  <c r="D579" i="15"/>
  <c r="I579" i="15" s="1"/>
  <c r="J579" i="15" s="1"/>
  <c r="L578" i="15"/>
  <c r="Q578" i="15" s="1"/>
  <c r="R578" i="15" s="1"/>
  <c r="D578" i="15"/>
  <c r="I578" i="15" s="1"/>
  <c r="J578" i="15" s="1"/>
  <c r="L577" i="15"/>
  <c r="Q577" i="15" s="1"/>
  <c r="R577" i="15" s="1"/>
  <c r="D577" i="15"/>
  <c r="I577" i="15" s="1"/>
  <c r="J577" i="15" s="1"/>
  <c r="L576" i="15"/>
  <c r="Q576" i="15" s="1"/>
  <c r="R576" i="15" s="1"/>
  <c r="D576" i="15"/>
  <c r="I576" i="15" s="1"/>
  <c r="J576" i="15" s="1"/>
  <c r="L575" i="15"/>
  <c r="Q575" i="15" s="1"/>
  <c r="R575" i="15" s="1"/>
  <c r="D575" i="15"/>
  <c r="I575" i="15" s="1"/>
  <c r="J575" i="15" s="1"/>
  <c r="L574" i="15"/>
  <c r="Q574" i="15" s="1"/>
  <c r="R574" i="15" s="1"/>
  <c r="D574" i="15"/>
  <c r="I574" i="15" s="1"/>
  <c r="J574" i="15" s="1"/>
  <c r="L573" i="15"/>
  <c r="Q573" i="15" s="1"/>
  <c r="R573" i="15" s="1"/>
  <c r="D573" i="15"/>
  <c r="I573" i="15" s="1"/>
  <c r="J573" i="15" s="1"/>
  <c r="L572" i="15"/>
  <c r="Q572" i="15" s="1"/>
  <c r="R572" i="15" s="1"/>
  <c r="D572" i="15"/>
  <c r="I572" i="15" s="1"/>
  <c r="J572" i="15" s="1"/>
  <c r="L571" i="15"/>
  <c r="Q571" i="15" s="1"/>
  <c r="R571" i="15" s="1"/>
  <c r="D571" i="15"/>
  <c r="I571" i="15" s="1"/>
  <c r="J571" i="15" s="1"/>
  <c r="L570" i="15"/>
  <c r="Q570" i="15" s="1"/>
  <c r="R570" i="15" s="1"/>
  <c r="D570" i="15"/>
  <c r="I570" i="15" s="1"/>
  <c r="J570" i="15" s="1"/>
  <c r="L569" i="15"/>
  <c r="L568" i="15"/>
  <c r="Q568" i="15" s="1"/>
  <c r="R568" i="15" s="1"/>
  <c r="D568" i="15"/>
  <c r="I568" i="15" s="1"/>
  <c r="J568" i="15" s="1"/>
  <c r="L567" i="15"/>
  <c r="Q567" i="15" s="1"/>
  <c r="R567" i="15" s="1"/>
  <c r="D567" i="15"/>
  <c r="I567" i="15" s="1"/>
  <c r="J567" i="15" s="1"/>
  <c r="L566" i="15"/>
  <c r="Q566" i="15" s="1"/>
  <c r="R566" i="15" s="1"/>
  <c r="D566" i="15"/>
  <c r="I566" i="15" s="1"/>
  <c r="J566" i="15" s="1"/>
  <c r="L565" i="15"/>
  <c r="Q565" i="15" s="1"/>
  <c r="R565" i="15" s="1"/>
  <c r="D565" i="15"/>
  <c r="I565" i="15" s="1"/>
  <c r="J565" i="15" s="1"/>
  <c r="L564" i="15"/>
  <c r="Q564" i="15" s="1"/>
  <c r="R564" i="15" s="1"/>
  <c r="D564" i="15"/>
  <c r="I564" i="15" s="1"/>
  <c r="J564" i="15" s="1"/>
  <c r="L563" i="15"/>
  <c r="Q563" i="15" s="1"/>
  <c r="R563" i="15" s="1"/>
  <c r="D563" i="15"/>
  <c r="I563" i="15" s="1"/>
  <c r="J563" i="15" s="1"/>
  <c r="L562" i="15"/>
  <c r="Q562" i="15" s="1"/>
  <c r="R562" i="15" s="1"/>
  <c r="D562" i="15"/>
  <c r="I562" i="15" s="1"/>
  <c r="J562" i="15" s="1"/>
  <c r="L561" i="15"/>
  <c r="Q561" i="15" s="1"/>
  <c r="R561" i="15" s="1"/>
  <c r="D561" i="15"/>
  <c r="I561" i="15" s="1"/>
  <c r="J561" i="15" s="1"/>
  <c r="L560" i="15"/>
  <c r="Q560" i="15" s="1"/>
  <c r="R560" i="15" s="1"/>
  <c r="D560" i="15"/>
  <c r="I560" i="15" s="1"/>
  <c r="J560" i="15" s="1"/>
  <c r="L559" i="15"/>
  <c r="Q559" i="15" s="1"/>
  <c r="R559" i="15" s="1"/>
  <c r="D559" i="15"/>
  <c r="I559" i="15" s="1"/>
  <c r="J559" i="15" s="1"/>
  <c r="L558" i="15"/>
  <c r="Q558" i="15" s="1"/>
  <c r="R558" i="15" s="1"/>
  <c r="D558" i="15"/>
  <c r="I558" i="15" s="1"/>
  <c r="J558" i="15" s="1"/>
  <c r="L557" i="15"/>
  <c r="Q557" i="15" s="1"/>
  <c r="R557" i="15" s="1"/>
  <c r="D557" i="15"/>
  <c r="I557" i="15" s="1"/>
  <c r="J557" i="15" s="1"/>
  <c r="L556" i="15"/>
  <c r="Q556" i="15" s="1"/>
  <c r="R556" i="15" s="1"/>
  <c r="D556" i="15"/>
  <c r="I556" i="15" s="1"/>
  <c r="J556" i="15" s="1"/>
  <c r="L555" i="15"/>
  <c r="Q555" i="15" s="1"/>
  <c r="R555" i="15" s="1"/>
  <c r="D555" i="15"/>
  <c r="I555" i="15" s="1"/>
  <c r="J555" i="15" s="1"/>
  <c r="L554" i="15"/>
  <c r="Q554" i="15" s="1"/>
  <c r="R554" i="15" s="1"/>
  <c r="D554" i="15"/>
  <c r="I554" i="15" s="1"/>
  <c r="J554" i="15" s="1"/>
  <c r="L553" i="15"/>
  <c r="Q553" i="15" s="1"/>
  <c r="R553" i="15" s="1"/>
  <c r="D553" i="15"/>
  <c r="I553" i="15" s="1"/>
  <c r="J553" i="15" s="1"/>
  <c r="L552" i="15"/>
  <c r="Q552" i="15" s="1"/>
  <c r="R552" i="15" s="1"/>
  <c r="D552" i="15"/>
  <c r="I552" i="15" s="1"/>
  <c r="J552" i="15" s="1"/>
  <c r="L551" i="15"/>
  <c r="Q551" i="15" s="1"/>
  <c r="R551" i="15" s="1"/>
  <c r="D551" i="15"/>
  <c r="I551" i="15" s="1"/>
  <c r="J551" i="15" s="1"/>
  <c r="L550" i="15"/>
  <c r="Q550" i="15" s="1"/>
  <c r="R550" i="15" s="1"/>
  <c r="D550" i="15"/>
  <c r="I550" i="15" s="1"/>
  <c r="J550" i="15" s="1"/>
  <c r="L549" i="15"/>
  <c r="Q549" i="15" s="1"/>
  <c r="R549" i="15" s="1"/>
  <c r="D549" i="15"/>
  <c r="I549" i="15" s="1"/>
  <c r="J549" i="15" s="1"/>
  <c r="L548" i="15"/>
  <c r="Q548" i="15" s="1"/>
  <c r="R548" i="15" s="1"/>
  <c r="D548" i="15"/>
  <c r="I548" i="15" s="1"/>
  <c r="J548" i="15" s="1"/>
  <c r="L547" i="15"/>
  <c r="Q547" i="15" s="1"/>
  <c r="R547" i="15" s="1"/>
  <c r="D547" i="15"/>
  <c r="I547" i="15" s="1"/>
  <c r="J547" i="15" s="1"/>
  <c r="L546" i="15"/>
  <c r="Q546" i="15" s="1"/>
  <c r="R546" i="15" s="1"/>
  <c r="D546" i="15"/>
  <c r="I546" i="15" s="1"/>
  <c r="J546" i="15" s="1"/>
  <c r="L545" i="15"/>
  <c r="Q545" i="15" s="1"/>
  <c r="R545" i="15" s="1"/>
  <c r="D545" i="15"/>
  <c r="I545" i="15" s="1"/>
  <c r="J545" i="15" s="1"/>
  <c r="L544" i="15"/>
  <c r="Q544" i="15" s="1"/>
  <c r="R544" i="15" s="1"/>
  <c r="D544" i="15"/>
  <c r="I544" i="15" s="1"/>
  <c r="J544" i="15" s="1"/>
  <c r="L543" i="15"/>
  <c r="Q543" i="15" s="1"/>
  <c r="R543" i="15" s="1"/>
  <c r="D543" i="15"/>
  <c r="I543" i="15" s="1"/>
  <c r="J543" i="15" s="1"/>
  <c r="L542" i="15"/>
  <c r="Q542" i="15" s="1"/>
  <c r="R542" i="15" s="1"/>
  <c r="D542" i="15"/>
  <c r="I542" i="15" s="1"/>
  <c r="J542" i="15" s="1"/>
  <c r="L541" i="15"/>
  <c r="L540" i="15"/>
  <c r="Q540" i="15" s="1"/>
  <c r="R540" i="15" s="1"/>
  <c r="D540" i="15"/>
  <c r="I540" i="15" s="1"/>
  <c r="J540" i="15" s="1"/>
  <c r="L539" i="15"/>
  <c r="Q539" i="15" s="1"/>
  <c r="R539" i="15" s="1"/>
  <c r="D539" i="15"/>
  <c r="I539" i="15" s="1"/>
  <c r="J539" i="15" s="1"/>
  <c r="L538" i="15"/>
  <c r="Q538" i="15" s="1"/>
  <c r="R538" i="15" s="1"/>
  <c r="D538" i="15"/>
  <c r="I538" i="15" s="1"/>
  <c r="J538" i="15" s="1"/>
  <c r="L537" i="15"/>
  <c r="Q537" i="15" s="1"/>
  <c r="R537" i="15" s="1"/>
  <c r="D537" i="15"/>
  <c r="I537" i="15" s="1"/>
  <c r="J537" i="15" s="1"/>
  <c r="L536" i="15"/>
  <c r="Q536" i="15" s="1"/>
  <c r="R536" i="15" s="1"/>
  <c r="D536" i="15"/>
  <c r="I536" i="15" s="1"/>
  <c r="J536" i="15" s="1"/>
  <c r="L535" i="15"/>
  <c r="Q535" i="15" s="1"/>
  <c r="R535" i="15" s="1"/>
  <c r="D535" i="15"/>
  <c r="I535" i="15" s="1"/>
  <c r="J535" i="15" s="1"/>
  <c r="L534" i="15"/>
  <c r="Q534" i="15" s="1"/>
  <c r="R534" i="15" s="1"/>
  <c r="D534" i="15"/>
  <c r="I534" i="15" s="1"/>
  <c r="J534" i="15" s="1"/>
  <c r="L533" i="15"/>
  <c r="Q533" i="15" s="1"/>
  <c r="R533" i="15" s="1"/>
  <c r="D533" i="15"/>
  <c r="I533" i="15" s="1"/>
  <c r="J533" i="15" s="1"/>
  <c r="L532" i="15"/>
  <c r="Q532" i="15" s="1"/>
  <c r="R532" i="15" s="1"/>
  <c r="D532" i="15"/>
  <c r="I532" i="15" s="1"/>
  <c r="J532" i="15" s="1"/>
  <c r="L531" i="15"/>
  <c r="Q531" i="15" s="1"/>
  <c r="R531" i="15" s="1"/>
  <c r="D531" i="15"/>
  <c r="I531" i="15" s="1"/>
  <c r="J531" i="15" s="1"/>
  <c r="L530" i="15"/>
  <c r="Q530" i="15" s="1"/>
  <c r="R530" i="15" s="1"/>
  <c r="D530" i="15"/>
  <c r="I530" i="15" s="1"/>
  <c r="J530" i="15" s="1"/>
  <c r="L529" i="15"/>
  <c r="Q529" i="15" s="1"/>
  <c r="R529" i="15" s="1"/>
  <c r="D529" i="15"/>
  <c r="I529" i="15" s="1"/>
  <c r="J529" i="15" s="1"/>
  <c r="L528" i="15"/>
  <c r="Q528" i="15" s="1"/>
  <c r="R528" i="15" s="1"/>
  <c r="D528" i="15"/>
  <c r="I528" i="15" s="1"/>
  <c r="J528" i="15" s="1"/>
  <c r="L527" i="15"/>
  <c r="Q527" i="15" s="1"/>
  <c r="R527" i="15" s="1"/>
  <c r="D527" i="15"/>
  <c r="I527" i="15" s="1"/>
  <c r="J527" i="15" s="1"/>
  <c r="L526" i="15"/>
  <c r="L525" i="15"/>
  <c r="Q525" i="15" s="1"/>
  <c r="R525" i="15" s="1"/>
  <c r="D525" i="15"/>
  <c r="I525" i="15" s="1"/>
  <c r="J525" i="15" s="1"/>
  <c r="L524" i="15"/>
  <c r="Q524" i="15" s="1"/>
  <c r="R524" i="15" s="1"/>
  <c r="D524" i="15"/>
  <c r="I524" i="15" s="1"/>
  <c r="J524" i="15" s="1"/>
  <c r="L523" i="15"/>
  <c r="Q523" i="15" s="1"/>
  <c r="R523" i="15" s="1"/>
  <c r="D523" i="15"/>
  <c r="I523" i="15" s="1"/>
  <c r="J523" i="15" s="1"/>
  <c r="L522" i="15"/>
  <c r="Q522" i="15" s="1"/>
  <c r="R522" i="15" s="1"/>
  <c r="D522" i="15"/>
  <c r="I522" i="15" s="1"/>
  <c r="J522" i="15" s="1"/>
  <c r="L521" i="15"/>
  <c r="Q521" i="15" s="1"/>
  <c r="R521" i="15" s="1"/>
  <c r="D521" i="15"/>
  <c r="I521" i="15" s="1"/>
  <c r="J521" i="15" s="1"/>
  <c r="L520" i="15"/>
  <c r="Q520" i="15" s="1"/>
  <c r="R520" i="15" s="1"/>
  <c r="D520" i="15"/>
  <c r="I520" i="15" s="1"/>
  <c r="J520" i="15" s="1"/>
  <c r="L519" i="15"/>
  <c r="Q519" i="15" s="1"/>
  <c r="R519" i="15" s="1"/>
  <c r="D519" i="15"/>
  <c r="I519" i="15" s="1"/>
  <c r="J519" i="15" s="1"/>
  <c r="L518" i="15"/>
  <c r="Q518" i="15" s="1"/>
  <c r="R518" i="15" s="1"/>
  <c r="D518" i="15"/>
  <c r="I518" i="15" s="1"/>
  <c r="J518" i="15" s="1"/>
  <c r="L517" i="15"/>
  <c r="Q517" i="15" s="1"/>
  <c r="R517" i="15" s="1"/>
  <c r="D517" i="15"/>
  <c r="I517" i="15" s="1"/>
  <c r="J517" i="15" s="1"/>
  <c r="L516" i="15"/>
  <c r="Q516" i="15" s="1"/>
  <c r="R516" i="15" s="1"/>
  <c r="D516" i="15"/>
  <c r="I516" i="15" s="1"/>
  <c r="J516" i="15" s="1"/>
  <c r="L515" i="15"/>
  <c r="Q515" i="15" s="1"/>
  <c r="R515" i="15" s="1"/>
  <c r="D515" i="15"/>
  <c r="I515" i="15" s="1"/>
  <c r="J515" i="15" s="1"/>
  <c r="L514" i="15"/>
  <c r="Q514" i="15" s="1"/>
  <c r="R514" i="15" s="1"/>
  <c r="D514" i="15"/>
  <c r="I514" i="15" s="1"/>
  <c r="J514" i="15" s="1"/>
  <c r="L513" i="15"/>
  <c r="Q513" i="15" s="1"/>
  <c r="R513" i="15" s="1"/>
  <c r="D513" i="15"/>
  <c r="I513" i="15" s="1"/>
  <c r="J513" i="15" s="1"/>
  <c r="L512" i="15"/>
  <c r="Q512" i="15" s="1"/>
  <c r="R512" i="15" s="1"/>
  <c r="D512" i="15"/>
  <c r="I512" i="15" s="1"/>
  <c r="J512" i="15" s="1"/>
  <c r="L511" i="15"/>
  <c r="Q511" i="15" s="1"/>
  <c r="R511" i="15" s="1"/>
  <c r="D511" i="15"/>
  <c r="I511" i="15" s="1"/>
  <c r="J511" i="15" s="1"/>
  <c r="L510" i="15"/>
  <c r="Q510" i="15" s="1"/>
  <c r="R510" i="15" s="1"/>
  <c r="D510" i="15"/>
  <c r="I510" i="15" s="1"/>
  <c r="J510" i="15" s="1"/>
  <c r="L509" i="15"/>
  <c r="Q509" i="15" s="1"/>
  <c r="R509" i="15" s="1"/>
  <c r="D509" i="15"/>
  <c r="I509" i="15" s="1"/>
  <c r="J509" i="15" s="1"/>
  <c r="L508" i="15"/>
  <c r="Q508" i="15" s="1"/>
  <c r="R508" i="15" s="1"/>
  <c r="D508" i="15"/>
  <c r="I508" i="15" s="1"/>
  <c r="J508" i="15" s="1"/>
  <c r="L507" i="15"/>
  <c r="Q507" i="15" s="1"/>
  <c r="R507" i="15" s="1"/>
  <c r="D507" i="15"/>
  <c r="I507" i="15" s="1"/>
  <c r="J507" i="15" s="1"/>
  <c r="L506" i="15"/>
  <c r="Q506" i="15" s="1"/>
  <c r="R506" i="15" s="1"/>
  <c r="D506" i="15"/>
  <c r="I506" i="15" s="1"/>
  <c r="J506" i="15" s="1"/>
  <c r="L505" i="15"/>
  <c r="Q505" i="15" s="1"/>
  <c r="R505" i="15" s="1"/>
  <c r="D505" i="15"/>
  <c r="I505" i="15" s="1"/>
  <c r="J505" i="15" s="1"/>
  <c r="L504" i="15"/>
  <c r="Q504" i="15" s="1"/>
  <c r="R504" i="15" s="1"/>
  <c r="D504" i="15"/>
  <c r="I504" i="15" s="1"/>
  <c r="J504" i="15" s="1"/>
  <c r="L503" i="15"/>
  <c r="Q503" i="15" s="1"/>
  <c r="R503" i="15" s="1"/>
  <c r="D503" i="15"/>
  <c r="I503" i="15" s="1"/>
  <c r="J503" i="15" s="1"/>
  <c r="L502" i="15"/>
  <c r="Q502" i="15" s="1"/>
  <c r="R502" i="15" s="1"/>
  <c r="D502" i="15"/>
  <c r="I502" i="15" s="1"/>
  <c r="J502" i="15" s="1"/>
  <c r="L501" i="15"/>
  <c r="Q501" i="15" s="1"/>
  <c r="R501" i="15" s="1"/>
  <c r="D501" i="15"/>
  <c r="I501" i="15" s="1"/>
  <c r="J501" i="15" s="1"/>
  <c r="L500" i="15"/>
  <c r="L499" i="15"/>
  <c r="Q499" i="15" s="1"/>
  <c r="R499" i="15" s="1"/>
  <c r="D499" i="15"/>
  <c r="I499" i="15" s="1"/>
  <c r="J499" i="15" s="1"/>
  <c r="L498" i="15"/>
  <c r="Q498" i="15" s="1"/>
  <c r="R498" i="15" s="1"/>
  <c r="D498" i="15"/>
  <c r="I498" i="15" s="1"/>
  <c r="J498" i="15" s="1"/>
  <c r="L497" i="15"/>
  <c r="Q497" i="15" s="1"/>
  <c r="R497" i="15" s="1"/>
  <c r="D497" i="15"/>
  <c r="I497" i="15" s="1"/>
  <c r="J497" i="15" s="1"/>
  <c r="L496" i="15"/>
  <c r="Q496" i="15" s="1"/>
  <c r="R496" i="15" s="1"/>
  <c r="D496" i="15"/>
  <c r="I496" i="15" s="1"/>
  <c r="J496" i="15" s="1"/>
  <c r="L495" i="15"/>
  <c r="Q495" i="15" s="1"/>
  <c r="R495" i="15" s="1"/>
  <c r="D495" i="15"/>
  <c r="I495" i="15" s="1"/>
  <c r="J495" i="15" s="1"/>
  <c r="L494" i="15"/>
  <c r="Q494" i="15" s="1"/>
  <c r="R494" i="15" s="1"/>
  <c r="D494" i="15"/>
  <c r="I494" i="15" s="1"/>
  <c r="J494" i="15" s="1"/>
  <c r="L493" i="15"/>
  <c r="Q493" i="15" s="1"/>
  <c r="R493" i="15" s="1"/>
  <c r="D493" i="15"/>
  <c r="I493" i="15" s="1"/>
  <c r="J493" i="15" s="1"/>
  <c r="L492" i="15"/>
  <c r="Q492" i="15" s="1"/>
  <c r="R492" i="15" s="1"/>
  <c r="D492" i="15"/>
  <c r="I492" i="15" s="1"/>
  <c r="J492" i="15" s="1"/>
  <c r="L491" i="15"/>
  <c r="Q491" i="15" s="1"/>
  <c r="R491" i="15" s="1"/>
  <c r="D491" i="15"/>
  <c r="I491" i="15" s="1"/>
  <c r="J491" i="15" s="1"/>
  <c r="L490" i="15"/>
  <c r="Q490" i="15" s="1"/>
  <c r="R490" i="15" s="1"/>
  <c r="D490" i="15"/>
  <c r="I490" i="15" s="1"/>
  <c r="J490" i="15" s="1"/>
  <c r="L489" i="15"/>
  <c r="Q489" i="15" s="1"/>
  <c r="R489" i="15" s="1"/>
  <c r="D489" i="15"/>
  <c r="I489" i="15" s="1"/>
  <c r="J489" i="15" s="1"/>
  <c r="L488" i="15"/>
  <c r="Q488" i="15" s="1"/>
  <c r="R488" i="15" s="1"/>
  <c r="D488" i="15"/>
  <c r="I488" i="15" s="1"/>
  <c r="J488" i="15" s="1"/>
  <c r="L487" i="15"/>
  <c r="Q487" i="15" s="1"/>
  <c r="R487" i="15" s="1"/>
  <c r="D487" i="15"/>
  <c r="I487" i="15" s="1"/>
  <c r="J487" i="15" s="1"/>
  <c r="L486" i="15"/>
  <c r="Q486" i="15" s="1"/>
  <c r="R486" i="15" s="1"/>
  <c r="D486" i="15"/>
  <c r="I486" i="15" s="1"/>
  <c r="J486" i="15" s="1"/>
  <c r="L485" i="15"/>
  <c r="Q485" i="15" s="1"/>
  <c r="R485" i="15" s="1"/>
  <c r="D485" i="15"/>
  <c r="I485" i="15" s="1"/>
  <c r="J485" i="15" s="1"/>
  <c r="L484" i="15"/>
  <c r="Q484" i="15" s="1"/>
  <c r="R484" i="15" s="1"/>
  <c r="D484" i="15"/>
  <c r="I484" i="15" s="1"/>
  <c r="J484" i="15" s="1"/>
  <c r="L483" i="15"/>
  <c r="Q483" i="15" s="1"/>
  <c r="R483" i="15" s="1"/>
  <c r="D483" i="15"/>
  <c r="I483" i="15" s="1"/>
  <c r="J483" i="15" s="1"/>
  <c r="L482" i="15"/>
  <c r="Q482" i="15" s="1"/>
  <c r="R482" i="15" s="1"/>
  <c r="D482" i="15"/>
  <c r="I482" i="15" s="1"/>
  <c r="J482" i="15" s="1"/>
  <c r="L481" i="15"/>
  <c r="Q481" i="15" s="1"/>
  <c r="R481" i="15" s="1"/>
  <c r="D481" i="15"/>
  <c r="I481" i="15" s="1"/>
  <c r="J481" i="15" s="1"/>
  <c r="L480" i="15"/>
  <c r="L479" i="15"/>
  <c r="Q479" i="15" s="1"/>
  <c r="R479" i="15" s="1"/>
  <c r="D479" i="15"/>
  <c r="I479" i="15" s="1"/>
  <c r="J479" i="15" s="1"/>
  <c r="L478" i="15"/>
  <c r="Q478" i="15" s="1"/>
  <c r="R478" i="15" s="1"/>
  <c r="D478" i="15"/>
  <c r="I478" i="15" s="1"/>
  <c r="J478" i="15" s="1"/>
  <c r="L477" i="15"/>
  <c r="Q477" i="15" s="1"/>
  <c r="R477" i="15" s="1"/>
  <c r="D477" i="15"/>
  <c r="I477" i="15" s="1"/>
  <c r="J477" i="15" s="1"/>
  <c r="L476" i="15"/>
  <c r="Q476" i="15" s="1"/>
  <c r="R476" i="15" s="1"/>
  <c r="D476" i="15"/>
  <c r="I476" i="15" s="1"/>
  <c r="J476" i="15" s="1"/>
  <c r="L475" i="15"/>
  <c r="Q475" i="15" s="1"/>
  <c r="R475" i="15" s="1"/>
  <c r="D475" i="15"/>
  <c r="I475" i="15" s="1"/>
  <c r="J475" i="15" s="1"/>
  <c r="L474" i="15"/>
  <c r="Q474" i="15" s="1"/>
  <c r="R474" i="15" s="1"/>
  <c r="D474" i="15"/>
  <c r="I474" i="15" s="1"/>
  <c r="J474" i="15" s="1"/>
  <c r="L473" i="15"/>
  <c r="Q473" i="15" s="1"/>
  <c r="R473" i="15" s="1"/>
  <c r="D473" i="15"/>
  <c r="I473" i="15" s="1"/>
  <c r="J473" i="15" s="1"/>
  <c r="L472" i="15"/>
  <c r="Q472" i="15" s="1"/>
  <c r="R472" i="15" s="1"/>
  <c r="D472" i="15"/>
  <c r="I472" i="15" s="1"/>
  <c r="J472" i="15" s="1"/>
  <c r="L471" i="15"/>
  <c r="Q471" i="15" s="1"/>
  <c r="R471" i="15" s="1"/>
  <c r="D471" i="15"/>
  <c r="I471" i="15" s="1"/>
  <c r="J471" i="15" s="1"/>
  <c r="L470" i="15"/>
  <c r="Q470" i="15" s="1"/>
  <c r="R470" i="15" s="1"/>
  <c r="D470" i="15"/>
  <c r="I470" i="15" s="1"/>
  <c r="J470" i="15" s="1"/>
  <c r="L469" i="15"/>
  <c r="Q469" i="15" s="1"/>
  <c r="R469" i="15" s="1"/>
  <c r="D469" i="15"/>
  <c r="I469" i="15" s="1"/>
  <c r="J469" i="15" s="1"/>
  <c r="L468" i="15"/>
  <c r="Q468" i="15" s="1"/>
  <c r="R468" i="15" s="1"/>
  <c r="D468" i="15"/>
  <c r="I468" i="15" s="1"/>
  <c r="J468" i="15" s="1"/>
  <c r="L467" i="15"/>
  <c r="Q467" i="15" s="1"/>
  <c r="R467" i="15" s="1"/>
  <c r="D467" i="15"/>
  <c r="I467" i="15" s="1"/>
  <c r="J467" i="15" s="1"/>
  <c r="L466" i="15"/>
  <c r="Q466" i="15" s="1"/>
  <c r="R466" i="15" s="1"/>
  <c r="D466" i="15"/>
  <c r="I466" i="15" s="1"/>
  <c r="J466" i="15" s="1"/>
  <c r="L465" i="15"/>
  <c r="Q465" i="15" s="1"/>
  <c r="R465" i="15" s="1"/>
  <c r="D465" i="15"/>
  <c r="I465" i="15" s="1"/>
  <c r="J465" i="15" s="1"/>
  <c r="L464" i="15"/>
  <c r="Q464" i="15" s="1"/>
  <c r="R464" i="15" s="1"/>
  <c r="D464" i="15"/>
  <c r="I464" i="15" s="1"/>
  <c r="J464" i="15" s="1"/>
  <c r="L463" i="15"/>
  <c r="Q463" i="15" s="1"/>
  <c r="R463" i="15" s="1"/>
  <c r="D463" i="15"/>
  <c r="I463" i="15" s="1"/>
  <c r="J463" i="15" s="1"/>
  <c r="L462" i="15"/>
  <c r="Q462" i="15" s="1"/>
  <c r="R462" i="15" s="1"/>
  <c r="D462" i="15"/>
  <c r="I462" i="15" s="1"/>
  <c r="J462" i="15" s="1"/>
  <c r="L461" i="15"/>
  <c r="Q461" i="15" s="1"/>
  <c r="R461" i="15" s="1"/>
  <c r="D461" i="15"/>
  <c r="I461" i="15" s="1"/>
  <c r="J461" i="15" s="1"/>
  <c r="L460" i="15"/>
  <c r="Q460" i="15" s="1"/>
  <c r="R460" i="15" s="1"/>
  <c r="D460" i="15"/>
  <c r="I460" i="15" s="1"/>
  <c r="J460" i="15" s="1"/>
  <c r="L459" i="15"/>
  <c r="Q459" i="15" s="1"/>
  <c r="R459" i="15" s="1"/>
  <c r="D459" i="15"/>
  <c r="I459" i="15" s="1"/>
  <c r="J459" i="15" s="1"/>
  <c r="L458" i="15"/>
  <c r="Q458" i="15" s="1"/>
  <c r="R458" i="15" s="1"/>
  <c r="D458" i="15"/>
  <c r="I458" i="15" s="1"/>
  <c r="J458" i="15" s="1"/>
  <c r="L457" i="15"/>
  <c r="Q457" i="15" s="1"/>
  <c r="R457" i="15" s="1"/>
  <c r="D457" i="15"/>
  <c r="I457" i="15" s="1"/>
  <c r="J457" i="15" s="1"/>
  <c r="L456" i="15"/>
  <c r="Q456" i="15" s="1"/>
  <c r="R456" i="15" s="1"/>
  <c r="D456" i="15"/>
  <c r="I456" i="15" s="1"/>
  <c r="J456" i="15" s="1"/>
  <c r="L455" i="15"/>
  <c r="Q455" i="15" s="1"/>
  <c r="R455" i="15" s="1"/>
  <c r="D455" i="15"/>
  <c r="I455" i="15" s="1"/>
  <c r="J455" i="15" s="1"/>
  <c r="L454" i="15"/>
  <c r="Q454" i="15" s="1"/>
  <c r="R454" i="15" s="1"/>
  <c r="D454" i="15"/>
  <c r="I454" i="15" s="1"/>
  <c r="J454" i="15" s="1"/>
  <c r="L453" i="15"/>
  <c r="Q453" i="15" s="1"/>
  <c r="R453" i="15" s="1"/>
  <c r="D453" i="15"/>
  <c r="I453" i="15" s="1"/>
  <c r="J453" i="15" s="1"/>
  <c r="L452" i="15"/>
  <c r="Q452" i="15" s="1"/>
  <c r="R452" i="15" s="1"/>
  <c r="D452" i="15"/>
  <c r="I452" i="15" s="1"/>
  <c r="J452" i="15" s="1"/>
  <c r="L451" i="15"/>
  <c r="Q451" i="15" s="1"/>
  <c r="R451" i="15" s="1"/>
  <c r="D451" i="15"/>
  <c r="I451" i="15" s="1"/>
  <c r="J451" i="15" s="1"/>
  <c r="L450" i="15"/>
  <c r="Q450" i="15" s="1"/>
  <c r="R450" i="15" s="1"/>
  <c r="D450" i="15"/>
  <c r="I450" i="15" s="1"/>
  <c r="J450" i="15" s="1"/>
  <c r="L449" i="15"/>
  <c r="Q449" i="15" s="1"/>
  <c r="R449" i="15" s="1"/>
  <c r="D449" i="15"/>
  <c r="I449" i="15" s="1"/>
  <c r="J449" i="15" s="1"/>
  <c r="L448" i="15"/>
  <c r="Q448" i="15" s="1"/>
  <c r="R448" i="15" s="1"/>
  <c r="D448" i="15"/>
  <c r="I448" i="15" s="1"/>
  <c r="J448" i="15" s="1"/>
  <c r="L447" i="15"/>
  <c r="Q447" i="15" s="1"/>
  <c r="R447" i="15" s="1"/>
  <c r="D447" i="15"/>
  <c r="I447" i="15" s="1"/>
  <c r="J447" i="15" s="1"/>
  <c r="L446" i="15"/>
  <c r="Q446" i="15" s="1"/>
  <c r="R446" i="15" s="1"/>
  <c r="D446" i="15"/>
  <c r="I446" i="15" s="1"/>
  <c r="J446" i="15" s="1"/>
  <c r="L445" i="15"/>
  <c r="Q445" i="15" s="1"/>
  <c r="R445" i="15" s="1"/>
  <c r="D445" i="15"/>
  <c r="I445" i="15" s="1"/>
  <c r="J445" i="15" s="1"/>
  <c r="L444" i="15"/>
  <c r="Q444" i="15" s="1"/>
  <c r="R444" i="15" s="1"/>
  <c r="D444" i="15"/>
  <c r="I444" i="15" s="1"/>
  <c r="J444" i="15" s="1"/>
  <c r="L443" i="15"/>
  <c r="Q443" i="15" s="1"/>
  <c r="R443" i="15" s="1"/>
  <c r="D443" i="15"/>
  <c r="I443" i="15" s="1"/>
  <c r="J443" i="15" s="1"/>
  <c r="L442" i="15"/>
  <c r="Q442" i="15" s="1"/>
  <c r="R442" i="15" s="1"/>
  <c r="D442" i="15"/>
  <c r="I442" i="15" s="1"/>
  <c r="J442" i="15" s="1"/>
  <c r="L441" i="15"/>
  <c r="Q441" i="15" s="1"/>
  <c r="R441" i="15" s="1"/>
  <c r="D441" i="15"/>
  <c r="I441" i="15" s="1"/>
  <c r="J441" i="15" s="1"/>
  <c r="L440" i="15"/>
  <c r="Q440" i="15" s="1"/>
  <c r="R440" i="15" s="1"/>
  <c r="D440" i="15"/>
  <c r="I440" i="15" s="1"/>
  <c r="J440" i="15" s="1"/>
  <c r="L439" i="15"/>
  <c r="Q439" i="15" s="1"/>
  <c r="R439" i="15" s="1"/>
  <c r="D439" i="15"/>
  <c r="I439" i="15" s="1"/>
  <c r="J439" i="15" s="1"/>
  <c r="L438" i="15"/>
  <c r="Q438" i="15" s="1"/>
  <c r="R438" i="15" s="1"/>
  <c r="D438" i="15"/>
  <c r="I438" i="15" s="1"/>
  <c r="J438" i="15" s="1"/>
  <c r="L437" i="15"/>
  <c r="Q437" i="15" s="1"/>
  <c r="R437" i="15" s="1"/>
  <c r="D437" i="15"/>
  <c r="I437" i="15" s="1"/>
  <c r="J437" i="15" s="1"/>
  <c r="L436" i="15"/>
  <c r="Q436" i="15" s="1"/>
  <c r="R436" i="15" s="1"/>
  <c r="D436" i="15"/>
  <c r="I436" i="15" s="1"/>
  <c r="J436" i="15" s="1"/>
  <c r="L435" i="15"/>
  <c r="Q435" i="15" s="1"/>
  <c r="R435" i="15" s="1"/>
  <c r="D435" i="15"/>
  <c r="I435" i="15" s="1"/>
  <c r="J435" i="15" s="1"/>
  <c r="L434" i="15"/>
  <c r="Q434" i="15" s="1"/>
  <c r="R434" i="15" s="1"/>
  <c r="D434" i="15"/>
  <c r="I434" i="15" s="1"/>
  <c r="J434" i="15" s="1"/>
  <c r="L433" i="15"/>
  <c r="Q433" i="15" s="1"/>
  <c r="R433" i="15" s="1"/>
  <c r="D433" i="15"/>
  <c r="I433" i="15" s="1"/>
  <c r="J433" i="15" s="1"/>
  <c r="L432" i="15"/>
  <c r="L397" i="15"/>
  <c r="Q397" i="15" s="1"/>
  <c r="R397" i="15" s="1"/>
  <c r="D397" i="15"/>
  <c r="I397" i="15" s="1"/>
  <c r="J397" i="15" s="1"/>
  <c r="L396" i="15"/>
  <c r="Q396" i="15" s="1"/>
  <c r="R396" i="15" s="1"/>
  <c r="D396" i="15"/>
  <c r="I396" i="15" s="1"/>
  <c r="J396" i="15" s="1"/>
  <c r="L395" i="15"/>
  <c r="Q395" i="15" s="1"/>
  <c r="R395" i="15" s="1"/>
  <c r="D395" i="15"/>
  <c r="I395" i="15" s="1"/>
  <c r="J395" i="15" s="1"/>
  <c r="L394" i="15"/>
  <c r="Q394" i="15" s="1"/>
  <c r="R394" i="15" s="1"/>
  <c r="D394" i="15"/>
  <c r="I394" i="15" s="1"/>
  <c r="J394" i="15" s="1"/>
  <c r="L393" i="15"/>
  <c r="Q393" i="15" s="1"/>
  <c r="R393" i="15" s="1"/>
  <c r="D393" i="15"/>
  <c r="I393" i="15" s="1"/>
  <c r="J393" i="15" s="1"/>
  <c r="L392" i="15"/>
  <c r="Q392" i="15" s="1"/>
  <c r="R392" i="15" s="1"/>
  <c r="D392" i="15"/>
  <c r="I392" i="15" s="1"/>
  <c r="J392" i="15" s="1"/>
  <c r="L391" i="15"/>
  <c r="Q391" i="15" s="1"/>
  <c r="R391" i="15" s="1"/>
  <c r="D391" i="15"/>
  <c r="I391" i="15" s="1"/>
  <c r="J391" i="15" s="1"/>
  <c r="L390" i="15"/>
  <c r="Q390" i="15" s="1"/>
  <c r="R390" i="15" s="1"/>
  <c r="D390" i="15"/>
  <c r="I390" i="15" s="1"/>
  <c r="J390" i="15" s="1"/>
  <c r="L389" i="15"/>
  <c r="Q389" i="15" s="1"/>
  <c r="R389" i="15" s="1"/>
  <c r="D389" i="15"/>
  <c r="I389" i="15" s="1"/>
  <c r="J389" i="15" s="1"/>
  <c r="L388" i="15"/>
  <c r="Q388" i="15" s="1"/>
  <c r="R388" i="15" s="1"/>
  <c r="D388" i="15"/>
  <c r="I388" i="15" s="1"/>
  <c r="J388" i="15" s="1"/>
  <c r="L387" i="15"/>
  <c r="Q387" i="15" s="1"/>
  <c r="R387" i="15" s="1"/>
  <c r="D387" i="15"/>
  <c r="I387" i="15" s="1"/>
  <c r="J387" i="15" s="1"/>
  <c r="L386" i="15"/>
  <c r="Q386" i="15" s="1"/>
  <c r="R386" i="15" s="1"/>
  <c r="D386" i="15"/>
  <c r="I386" i="15" s="1"/>
  <c r="J386" i="15" s="1"/>
  <c r="L385" i="15"/>
  <c r="Q385" i="15" s="1"/>
  <c r="R385" i="15" s="1"/>
  <c r="D385" i="15"/>
  <c r="I385" i="15" s="1"/>
  <c r="J385" i="15" s="1"/>
  <c r="L384" i="15"/>
  <c r="Q384" i="15" s="1"/>
  <c r="R384" i="15" s="1"/>
  <c r="D384" i="15"/>
  <c r="I384" i="15" s="1"/>
  <c r="J384" i="15" s="1"/>
  <c r="L383" i="15"/>
  <c r="Q383" i="15" s="1"/>
  <c r="R383" i="15" s="1"/>
  <c r="D383" i="15"/>
  <c r="I383" i="15" s="1"/>
  <c r="J383" i="15" s="1"/>
  <c r="L382" i="15"/>
  <c r="Q382" i="15" s="1"/>
  <c r="R382" i="15" s="1"/>
  <c r="D382" i="15"/>
  <c r="I382" i="15" s="1"/>
  <c r="J382" i="15" s="1"/>
  <c r="L381" i="15"/>
  <c r="Q381" i="15" s="1"/>
  <c r="R381" i="15" s="1"/>
  <c r="D381" i="15"/>
  <c r="I381" i="15" s="1"/>
  <c r="J381" i="15" s="1"/>
  <c r="L380" i="15"/>
  <c r="Q380" i="15" s="1"/>
  <c r="R380" i="15" s="1"/>
  <c r="D380" i="15"/>
  <c r="I380" i="15" s="1"/>
  <c r="J380" i="15" s="1"/>
  <c r="L379" i="15"/>
  <c r="Q379" i="15" s="1"/>
  <c r="R379" i="15" s="1"/>
  <c r="D379" i="15"/>
  <c r="I379" i="15" s="1"/>
  <c r="J379" i="15" s="1"/>
  <c r="L378" i="15"/>
  <c r="Q378" i="15" s="1"/>
  <c r="R378" i="15" s="1"/>
  <c r="D378" i="15"/>
  <c r="I378" i="15" s="1"/>
  <c r="J378" i="15" s="1"/>
  <c r="L377" i="15"/>
  <c r="Q377" i="15" s="1"/>
  <c r="R377" i="15" s="1"/>
  <c r="D377" i="15"/>
  <c r="I377" i="15" s="1"/>
  <c r="J377" i="15" s="1"/>
  <c r="L376" i="15"/>
  <c r="Q376" i="15" s="1"/>
  <c r="R376" i="15" s="1"/>
  <c r="D376" i="15"/>
  <c r="I376" i="15" s="1"/>
  <c r="J376" i="15" s="1"/>
  <c r="L375" i="15"/>
  <c r="Q375" i="15" s="1"/>
  <c r="R375" i="15" s="1"/>
  <c r="D375" i="15"/>
  <c r="I375" i="15" s="1"/>
  <c r="J375" i="15" s="1"/>
  <c r="L374" i="15"/>
  <c r="Q374" i="15" s="1"/>
  <c r="R374" i="15" s="1"/>
  <c r="D374" i="15"/>
  <c r="I374" i="15" s="1"/>
  <c r="J374" i="15" s="1"/>
  <c r="L373" i="15"/>
  <c r="Q373" i="15" s="1"/>
  <c r="R373" i="15" s="1"/>
  <c r="D373" i="15"/>
  <c r="I373" i="15" s="1"/>
  <c r="J373" i="15" s="1"/>
  <c r="L372" i="15"/>
  <c r="Q372" i="15" s="1"/>
  <c r="R372" i="15" s="1"/>
  <c r="D372" i="15"/>
  <c r="I372" i="15" s="1"/>
  <c r="J372" i="15" s="1"/>
  <c r="L371" i="15"/>
  <c r="Q371" i="15" s="1"/>
  <c r="R371" i="15" s="1"/>
  <c r="D371" i="15"/>
  <c r="I371" i="15" s="1"/>
  <c r="J371" i="15" s="1"/>
  <c r="L370" i="15"/>
  <c r="Q370" i="15" s="1"/>
  <c r="R370" i="15" s="1"/>
  <c r="D370" i="15"/>
  <c r="I370" i="15" s="1"/>
  <c r="J370" i="15" s="1"/>
  <c r="L369" i="15"/>
  <c r="Q369" i="15" s="1"/>
  <c r="R369" i="15" s="1"/>
  <c r="D369" i="15"/>
  <c r="I369" i="15" s="1"/>
  <c r="J369" i="15" s="1"/>
  <c r="L368" i="15"/>
  <c r="Q368" i="15" s="1"/>
  <c r="R368" i="15" s="1"/>
  <c r="D368" i="15"/>
  <c r="I368" i="15" s="1"/>
  <c r="J368" i="15" s="1"/>
  <c r="L367" i="15"/>
  <c r="Q367" i="15" s="1"/>
  <c r="R367" i="15" s="1"/>
  <c r="D367" i="15"/>
  <c r="I367" i="15" s="1"/>
  <c r="J367" i="15" s="1"/>
  <c r="L366" i="15"/>
  <c r="Q366" i="15" s="1"/>
  <c r="R366" i="15" s="1"/>
  <c r="D366" i="15"/>
  <c r="I366" i="15" s="1"/>
  <c r="J366" i="15" s="1"/>
  <c r="L365" i="15"/>
  <c r="Q365" i="15" s="1"/>
  <c r="R365" i="15" s="1"/>
  <c r="D365" i="15"/>
  <c r="I365" i="15" s="1"/>
  <c r="J365" i="15" s="1"/>
  <c r="L364" i="15"/>
  <c r="L363" i="15"/>
  <c r="Q363" i="15" s="1"/>
  <c r="R363" i="15" s="1"/>
  <c r="D363" i="15"/>
  <c r="I363" i="15" s="1"/>
  <c r="J363" i="15" s="1"/>
  <c r="L362" i="15"/>
  <c r="Q362" i="15" s="1"/>
  <c r="R362" i="15" s="1"/>
  <c r="D362" i="15"/>
  <c r="I362" i="15" s="1"/>
  <c r="J362" i="15" s="1"/>
  <c r="L361" i="15"/>
  <c r="Q361" i="15" s="1"/>
  <c r="R361" i="15" s="1"/>
  <c r="D361" i="15"/>
  <c r="I361" i="15" s="1"/>
  <c r="J361" i="15" s="1"/>
  <c r="L360" i="15"/>
  <c r="Q360" i="15" s="1"/>
  <c r="R360" i="15" s="1"/>
  <c r="D360" i="15"/>
  <c r="I360" i="15" s="1"/>
  <c r="J360" i="15" s="1"/>
  <c r="L359" i="15"/>
  <c r="Q359" i="15" s="1"/>
  <c r="R359" i="15" s="1"/>
  <c r="D359" i="15"/>
  <c r="I359" i="15" s="1"/>
  <c r="J359" i="15" s="1"/>
  <c r="L358" i="15"/>
  <c r="Q358" i="15" s="1"/>
  <c r="R358" i="15" s="1"/>
  <c r="D358" i="15"/>
  <c r="I358" i="15" s="1"/>
  <c r="J358" i="15" s="1"/>
  <c r="L357" i="15"/>
  <c r="Q357" i="15" s="1"/>
  <c r="R357" i="15" s="1"/>
  <c r="D357" i="15"/>
  <c r="I357" i="15" s="1"/>
  <c r="J357" i="15" s="1"/>
  <c r="L356" i="15"/>
  <c r="Q356" i="15" s="1"/>
  <c r="R356" i="15" s="1"/>
  <c r="D356" i="15"/>
  <c r="I356" i="15" s="1"/>
  <c r="J356" i="15" s="1"/>
  <c r="L355" i="15"/>
  <c r="Q355" i="15" s="1"/>
  <c r="R355" i="15" s="1"/>
  <c r="D355" i="15"/>
  <c r="I355" i="15" s="1"/>
  <c r="J355" i="15" s="1"/>
  <c r="L354" i="15"/>
  <c r="Q354" i="15" s="1"/>
  <c r="R354" i="15" s="1"/>
  <c r="D354" i="15"/>
  <c r="I354" i="15" s="1"/>
  <c r="J354" i="15" s="1"/>
  <c r="L353" i="15"/>
  <c r="Q353" i="15" s="1"/>
  <c r="R353" i="15" s="1"/>
  <c r="D353" i="15"/>
  <c r="I353" i="15" s="1"/>
  <c r="J353" i="15" s="1"/>
  <c r="L352" i="15"/>
  <c r="Q352" i="15" s="1"/>
  <c r="R352" i="15" s="1"/>
  <c r="D352" i="15"/>
  <c r="I352" i="15" s="1"/>
  <c r="J352" i="15" s="1"/>
  <c r="L351" i="15"/>
  <c r="Q351" i="15" s="1"/>
  <c r="R351" i="15" s="1"/>
  <c r="D351" i="15"/>
  <c r="I351" i="15" s="1"/>
  <c r="J351" i="15" s="1"/>
  <c r="L350" i="15"/>
  <c r="Q350" i="15" s="1"/>
  <c r="R350" i="15" s="1"/>
  <c r="D350" i="15"/>
  <c r="I350" i="15" s="1"/>
  <c r="J350" i="15" s="1"/>
  <c r="L349" i="15"/>
  <c r="Q349" i="15" s="1"/>
  <c r="R349" i="15" s="1"/>
  <c r="D349" i="15"/>
  <c r="I349" i="15" s="1"/>
  <c r="J349" i="15" s="1"/>
  <c r="L348" i="15"/>
  <c r="Q348" i="15" s="1"/>
  <c r="R348" i="15" s="1"/>
  <c r="D348" i="15"/>
  <c r="I348" i="15" s="1"/>
  <c r="J348" i="15" s="1"/>
  <c r="L347" i="15"/>
  <c r="Q347" i="15" s="1"/>
  <c r="R347" i="15" s="1"/>
  <c r="D347" i="15"/>
  <c r="I347" i="15" s="1"/>
  <c r="J347" i="15" s="1"/>
  <c r="L346" i="15"/>
  <c r="Q346" i="15" s="1"/>
  <c r="R346" i="15" s="1"/>
  <c r="D346" i="15"/>
  <c r="I346" i="15" s="1"/>
  <c r="J346" i="15" s="1"/>
  <c r="L345" i="15"/>
  <c r="Q345" i="15" s="1"/>
  <c r="R345" i="15" s="1"/>
  <c r="D345" i="15"/>
  <c r="I345" i="15" s="1"/>
  <c r="J345" i="15" s="1"/>
  <c r="L344" i="15"/>
  <c r="Q344" i="15" s="1"/>
  <c r="R344" i="15" s="1"/>
  <c r="D344" i="15"/>
  <c r="I344" i="15" s="1"/>
  <c r="J344" i="15" s="1"/>
  <c r="L343" i="15"/>
  <c r="Q343" i="15" s="1"/>
  <c r="R343" i="15" s="1"/>
  <c r="D343" i="15"/>
  <c r="I343" i="15" s="1"/>
  <c r="J343" i="15" s="1"/>
  <c r="L342" i="15"/>
  <c r="Q342" i="15" s="1"/>
  <c r="R342" i="15" s="1"/>
  <c r="D342" i="15"/>
  <c r="I342" i="15" s="1"/>
  <c r="J342" i="15" s="1"/>
  <c r="L341" i="15"/>
  <c r="Q341" i="15" s="1"/>
  <c r="R341" i="15" s="1"/>
  <c r="D341" i="15"/>
  <c r="I341" i="15" s="1"/>
  <c r="J341" i="15" s="1"/>
  <c r="L340" i="15"/>
  <c r="Q340" i="15" s="1"/>
  <c r="R340" i="15" s="1"/>
  <c r="D340" i="15"/>
  <c r="I340" i="15" s="1"/>
  <c r="J340" i="15" s="1"/>
  <c r="L339" i="15"/>
  <c r="Q339" i="15" s="1"/>
  <c r="R339" i="15" s="1"/>
  <c r="D339" i="15"/>
  <c r="I339" i="15" s="1"/>
  <c r="J339" i="15" s="1"/>
  <c r="L338" i="15"/>
  <c r="Q338" i="15" s="1"/>
  <c r="R338" i="15" s="1"/>
  <c r="D338" i="15"/>
  <c r="I338" i="15" s="1"/>
  <c r="J338" i="15" s="1"/>
  <c r="L337" i="15"/>
  <c r="Q337" i="15" s="1"/>
  <c r="R337" i="15" s="1"/>
  <c r="D337" i="15"/>
  <c r="I337" i="15" s="1"/>
  <c r="J337" i="15" s="1"/>
  <c r="L336" i="15"/>
  <c r="Q336" i="15" s="1"/>
  <c r="R336" i="15" s="1"/>
  <c r="D336" i="15"/>
  <c r="I336" i="15" s="1"/>
  <c r="J336" i="15" s="1"/>
  <c r="L335" i="15"/>
  <c r="Q335" i="15" s="1"/>
  <c r="R335" i="15" s="1"/>
  <c r="D335" i="15"/>
  <c r="I335" i="15" s="1"/>
  <c r="J335" i="15" s="1"/>
  <c r="L334" i="15"/>
  <c r="Q334" i="15" s="1"/>
  <c r="R334" i="15" s="1"/>
  <c r="D334" i="15"/>
  <c r="I334" i="15" s="1"/>
  <c r="J334" i="15" s="1"/>
  <c r="L333" i="15"/>
  <c r="Q333" i="15" s="1"/>
  <c r="R333" i="15" s="1"/>
  <c r="D333" i="15"/>
  <c r="I333" i="15" s="1"/>
  <c r="J333" i="15" s="1"/>
  <c r="L332" i="15"/>
  <c r="Q332" i="15" s="1"/>
  <c r="R332" i="15" s="1"/>
  <c r="D332" i="15"/>
  <c r="I332" i="15" s="1"/>
  <c r="J332" i="15" s="1"/>
  <c r="L331" i="15"/>
  <c r="Q331" i="15" s="1"/>
  <c r="R331" i="15" s="1"/>
  <c r="D331" i="15"/>
  <c r="I331" i="15" s="1"/>
  <c r="J331" i="15" s="1"/>
  <c r="L330" i="15"/>
  <c r="Q330" i="15" s="1"/>
  <c r="R330" i="15" s="1"/>
  <c r="D330" i="15"/>
  <c r="I330" i="15" s="1"/>
  <c r="J330" i="15" s="1"/>
  <c r="L329" i="15"/>
  <c r="Q329" i="15" s="1"/>
  <c r="R329" i="15" s="1"/>
  <c r="D329" i="15"/>
  <c r="I329" i="15" s="1"/>
  <c r="J329" i="15" s="1"/>
  <c r="L328" i="15"/>
  <c r="Q328" i="15" s="1"/>
  <c r="R328" i="15" s="1"/>
  <c r="D328" i="15"/>
  <c r="I328" i="15" s="1"/>
  <c r="J328" i="15" s="1"/>
  <c r="L327" i="15"/>
  <c r="L326" i="15"/>
  <c r="Q326" i="15" s="1"/>
  <c r="R326" i="15" s="1"/>
  <c r="D326" i="15"/>
  <c r="I326" i="15" s="1"/>
  <c r="J326" i="15" s="1"/>
  <c r="L325" i="15"/>
  <c r="Q325" i="15" s="1"/>
  <c r="R325" i="15" s="1"/>
  <c r="D325" i="15"/>
  <c r="I325" i="15" s="1"/>
  <c r="J325" i="15" s="1"/>
  <c r="L324" i="15"/>
  <c r="Q324" i="15" s="1"/>
  <c r="R324" i="15" s="1"/>
  <c r="D324" i="15"/>
  <c r="I324" i="15" s="1"/>
  <c r="J324" i="15" s="1"/>
  <c r="L323" i="15"/>
  <c r="Q323" i="15" s="1"/>
  <c r="R323" i="15" s="1"/>
  <c r="D323" i="15"/>
  <c r="I323" i="15" s="1"/>
  <c r="J323" i="15" s="1"/>
  <c r="L322" i="15"/>
  <c r="Q322" i="15" s="1"/>
  <c r="R322" i="15" s="1"/>
  <c r="D322" i="15"/>
  <c r="I322" i="15" s="1"/>
  <c r="J322" i="15" s="1"/>
  <c r="L321" i="15"/>
  <c r="Q321" i="15" s="1"/>
  <c r="R321" i="15" s="1"/>
  <c r="D321" i="15"/>
  <c r="I321" i="15" s="1"/>
  <c r="J321" i="15" s="1"/>
  <c r="L320" i="15"/>
  <c r="Q320" i="15" s="1"/>
  <c r="R320" i="15" s="1"/>
  <c r="D320" i="15"/>
  <c r="I320" i="15" s="1"/>
  <c r="J320" i="15" s="1"/>
  <c r="L319" i="15"/>
  <c r="Q319" i="15" s="1"/>
  <c r="R319" i="15" s="1"/>
  <c r="D319" i="15"/>
  <c r="I319" i="15" s="1"/>
  <c r="J319" i="15" s="1"/>
  <c r="L318" i="15"/>
  <c r="Q318" i="15" s="1"/>
  <c r="R318" i="15" s="1"/>
  <c r="D318" i="15"/>
  <c r="I318" i="15" s="1"/>
  <c r="J318" i="15" s="1"/>
  <c r="L317" i="15"/>
  <c r="Q317" i="15" s="1"/>
  <c r="R317" i="15" s="1"/>
  <c r="D317" i="15"/>
  <c r="I317" i="15" s="1"/>
  <c r="J317" i="15" s="1"/>
  <c r="L316" i="15"/>
  <c r="Q316" i="15" s="1"/>
  <c r="R316" i="15" s="1"/>
  <c r="D316" i="15"/>
  <c r="I316" i="15" s="1"/>
  <c r="J316" i="15" s="1"/>
  <c r="L315" i="15"/>
  <c r="Q315" i="15" s="1"/>
  <c r="R315" i="15" s="1"/>
  <c r="D315" i="15"/>
  <c r="I315" i="15" s="1"/>
  <c r="J315" i="15" s="1"/>
  <c r="L314" i="15"/>
  <c r="Q314" i="15" s="1"/>
  <c r="R314" i="15" s="1"/>
  <c r="D314" i="15"/>
  <c r="I314" i="15" s="1"/>
  <c r="J314" i="15" s="1"/>
  <c r="L313" i="15"/>
  <c r="Q313" i="15" s="1"/>
  <c r="R313" i="15" s="1"/>
  <c r="D313" i="15"/>
  <c r="I313" i="15" s="1"/>
  <c r="J313" i="15" s="1"/>
  <c r="L312" i="15"/>
  <c r="Q312" i="15" s="1"/>
  <c r="R312" i="15" s="1"/>
  <c r="D312" i="15"/>
  <c r="I312" i="15" s="1"/>
  <c r="J312" i="15" s="1"/>
  <c r="L311" i="15"/>
  <c r="Q311" i="15" s="1"/>
  <c r="R311" i="15" s="1"/>
  <c r="D311" i="15"/>
  <c r="I311" i="15" s="1"/>
  <c r="J311" i="15" s="1"/>
  <c r="L310" i="15"/>
  <c r="Q310" i="15" s="1"/>
  <c r="R310" i="15" s="1"/>
  <c r="D310" i="15"/>
  <c r="I310" i="15" s="1"/>
  <c r="J310" i="15" s="1"/>
  <c r="L309" i="15"/>
  <c r="Q309" i="15" s="1"/>
  <c r="R309" i="15" s="1"/>
  <c r="D309" i="15"/>
  <c r="I309" i="15" s="1"/>
  <c r="J309" i="15" s="1"/>
  <c r="L308" i="15"/>
  <c r="Q308" i="15" s="1"/>
  <c r="R308" i="15" s="1"/>
  <c r="D308" i="15"/>
  <c r="I308" i="15" s="1"/>
  <c r="J308" i="15" s="1"/>
  <c r="L307" i="15"/>
  <c r="Q307" i="15" s="1"/>
  <c r="R307" i="15" s="1"/>
  <c r="D307" i="15"/>
  <c r="I307" i="15" s="1"/>
  <c r="J307" i="15" s="1"/>
  <c r="L306" i="15"/>
  <c r="Q306" i="15" s="1"/>
  <c r="R306" i="15" s="1"/>
  <c r="D306" i="15"/>
  <c r="I306" i="15" s="1"/>
  <c r="J306" i="15" s="1"/>
  <c r="L305" i="15"/>
  <c r="Q305" i="15" s="1"/>
  <c r="R305" i="15" s="1"/>
  <c r="D305" i="15"/>
  <c r="I305" i="15" s="1"/>
  <c r="J305" i="15" s="1"/>
  <c r="L304" i="15"/>
  <c r="Q304" i="15" s="1"/>
  <c r="R304" i="15" s="1"/>
  <c r="D304" i="15"/>
  <c r="I304" i="15" s="1"/>
  <c r="J304" i="15" s="1"/>
  <c r="L303" i="15"/>
  <c r="Q303" i="15" s="1"/>
  <c r="R303" i="15" s="1"/>
  <c r="D303" i="15"/>
  <c r="I303" i="15" s="1"/>
  <c r="J303" i="15" s="1"/>
  <c r="L302" i="15"/>
  <c r="Q302" i="15" s="1"/>
  <c r="R302" i="15" s="1"/>
  <c r="D302" i="15"/>
  <c r="I302" i="15" s="1"/>
  <c r="J302" i="15" s="1"/>
  <c r="L301" i="15"/>
  <c r="Q301" i="15" s="1"/>
  <c r="R301" i="15" s="1"/>
  <c r="D301" i="15"/>
  <c r="I301" i="15" s="1"/>
  <c r="J301" i="15" s="1"/>
  <c r="L300" i="15"/>
  <c r="Q300" i="15" s="1"/>
  <c r="R300" i="15" s="1"/>
  <c r="D300" i="15"/>
  <c r="I300" i="15" s="1"/>
  <c r="J300" i="15" s="1"/>
  <c r="L299" i="15"/>
  <c r="Q299" i="15" s="1"/>
  <c r="R299" i="15" s="1"/>
  <c r="D299" i="15"/>
  <c r="I299" i="15" s="1"/>
  <c r="J299" i="15" s="1"/>
  <c r="L298" i="15"/>
  <c r="Q298" i="15" s="1"/>
  <c r="R298" i="15" s="1"/>
  <c r="D298" i="15"/>
  <c r="I298" i="15" s="1"/>
  <c r="J298" i="15" s="1"/>
  <c r="L297" i="15"/>
  <c r="Q297" i="15" s="1"/>
  <c r="R297" i="15" s="1"/>
  <c r="D297" i="15"/>
  <c r="I297" i="15" s="1"/>
  <c r="J297" i="15" s="1"/>
  <c r="L296" i="15"/>
  <c r="Q296" i="15" s="1"/>
  <c r="R296" i="15" s="1"/>
  <c r="D296" i="15"/>
  <c r="I296" i="15" s="1"/>
  <c r="J296" i="15" s="1"/>
  <c r="L295" i="15"/>
  <c r="Q295" i="15" s="1"/>
  <c r="R295" i="15" s="1"/>
  <c r="D295" i="15"/>
  <c r="I295" i="15" s="1"/>
  <c r="J295" i="15" s="1"/>
  <c r="L294" i="15"/>
  <c r="Q294" i="15" s="1"/>
  <c r="R294" i="15" s="1"/>
  <c r="D294" i="15"/>
  <c r="I294" i="15" s="1"/>
  <c r="J294" i="15" s="1"/>
  <c r="L293" i="15"/>
  <c r="Q293" i="15" s="1"/>
  <c r="R293" i="15" s="1"/>
  <c r="D293" i="15"/>
  <c r="I293" i="15" s="1"/>
  <c r="J293" i="15" s="1"/>
  <c r="L292" i="15"/>
  <c r="Q292" i="15" s="1"/>
  <c r="R292" i="15" s="1"/>
  <c r="D292" i="15"/>
  <c r="I292" i="15" s="1"/>
  <c r="J292" i="15" s="1"/>
  <c r="L291" i="15"/>
  <c r="L290" i="15"/>
  <c r="Q290" i="15" s="1"/>
  <c r="R290" i="15" s="1"/>
  <c r="D290" i="15"/>
  <c r="I290" i="15" s="1"/>
  <c r="J290" i="15" s="1"/>
  <c r="L289" i="15"/>
  <c r="Q289" i="15" s="1"/>
  <c r="R289" i="15" s="1"/>
  <c r="D289" i="15"/>
  <c r="I289" i="15" s="1"/>
  <c r="J289" i="15" s="1"/>
  <c r="L288" i="15"/>
  <c r="Q288" i="15" s="1"/>
  <c r="R288" i="15" s="1"/>
  <c r="D288" i="15"/>
  <c r="I288" i="15" s="1"/>
  <c r="J288" i="15" s="1"/>
  <c r="L287" i="15"/>
  <c r="Q287" i="15" s="1"/>
  <c r="R287" i="15" s="1"/>
  <c r="D287" i="15"/>
  <c r="I287" i="15" s="1"/>
  <c r="J287" i="15" s="1"/>
  <c r="L286" i="15"/>
  <c r="Q286" i="15" s="1"/>
  <c r="R286" i="15" s="1"/>
  <c r="D286" i="15"/>
  <c r="I286" i="15" s="1"/>
  <c r="J286" i="15" s="1"/>
  <c r="L285" i="15"/>
  <c r="Q285" i="15" s="1"/>
  <c r="R285" i="15" s="1"/>
  <c r="D285" i="15"/>
  <c r="I285" i="15" s="1"/>
  <c r="J285" i="15" s="1"/>
  <c r="L284" i="15"/>
  <c r="Q284" i="15" s="1"/>
  <c r="R284" i="15" s="1"/>
  <c r="D284" i="15"/>
  <c r="I284" i="15" s="1"/>
  <c r="J284" i="15" s="1"/>
  <c r="L283" i="15"/>
  <c r="Q283" i="15" s="1"/>
  <c r="R283" i="15" s="1"/>
  <c r="D283" i="15"/>
  <c r="I283" i="15" s="1"/>
  <c r="J283" i="15" s="1"/>
  <c r="L282" i="15"/>
  <c r="Q282" i="15" s="1"/>
  <c r="R282" i="15" s="1"/>
  <c r="D282" i="15"/>
  <c r="I282" i="15" s="1"/>
  <c r="J282" i="15" s="1"/>
  <c r="L281" i="15"/>
  <c r="Q281" i="15" s="1"/>
  <c r="R281" i="15" s="1"/>
  <c r="D281" i="15"/>
  <c r="I281" i="15" s="1"/>
  <c r="J281" i="15" s="1"/>
  <c r="L280" i="15"/>
  <c r="Q280" i="15" s="1"/>
  <c r="R280" i="15" s="1"/>
  <c r="D280" i="15"/>
  <c r="I280" i="15" s="1"/>
  <c r="J280" i="15" s="1"/>
  <c r="L279" i="15"/>
  <c r="Q279" i="15" s="1"/>
  <c r="R279" i="15" s="1"/>
  <c r="D279" i="15"/>
  <c r="I279" i="15" s="1"/>
  <c r="J279" i="15" s="1"/>
  <c r="L278" i="15"/>
  <c r="Q278" i="15" s="1"/>
  <c r="R278" i="15" s="1"/>
  <c r="D278" i="15"/>
  <c r="I278" i="15" s="1"/>
  <c r="J278" i="15" s="1"/>
  <c r="L277" i="15"/>
  <c r="Q277" i="15" s="1"/>
  <c r="R277" i="15" s="1"/>
  <c r="D277" i="15"/>
  <c r="I277" i="15" s="1"/>
  <c r="J277" i="15" s="1"/>
  <c r="L276" i="15"/>
  <c r="Q276" i="15" s="1"/>
  <c r="R276" i="15" s="1"/>
  <c r="D276" i="15"/>
  <c r="I276" i="15" s="1"/>
  <c r="J276" i="15" s="1"/>
  <c r="L275" i="15"/>
  <c r="Q275" i="15" s="1"/>
  <c r="R275" i="15" s="1"/>
  <c r="D275" i="15"/>
  <c r="I275" i="15" s="1"/>
  <c r="J275" i="15" s="1"/>
  <c r="L274" i="15"/>
  <c r="Q274" i="15" s="1"/>
  <c r="R274" i="15" s="1"/>
  <c r="D274" i="15"/>
  <c r="I274" i="15" s="1"/>
  <c r="J274" i="15" s="1"/>
  <c r="L273" i="15"/>
  <c r="Q273" i="15" s="1"/>
  <c r="R273" i="15" s="1"/>
  <c r="D273" i="15"/>
  <c r="I273" i="15" s="1"/>
  <c r="J273" i="15" s="1"/>
  <c r="L272" i="15"/>
  <c r="Q272" i="15" s="1"/>
  <c r="R272" i="15" s="1"/>
  <c r="D272" i="15"/>
  <c r="I272" i="15" s="1"/>
  <c r="J272" i="15" s="1"/>
  <c r="L271" i="15"/>
  <c r="Q271" i="15" s="1"/>
  <c r="R271" i="15" s="1"/>
  <c r="D271" i="15"/>
  <c r="I271" i="15" s="1"/>
  <c r="J271" i="15" s="1"/>
  <c r="L270" i="15"/>
  <c r="Q270" i="15" s="1"/>
  <c r="R270" i="15" s="1"/>
  <c r="D270" i="15"/>
  <c r="I270" i="15" s="1"/>
  <c r="J270" i="15" s="1"/>
  <c r="L269" i="15"/>
  <c r="Q269" i="15" s="1"/>
  <c r="R269" i="15" s="1"/>
  <c r="D269" i="15"/>
  <c r="I269" i="15" s="1"/>
  <c r="J269" i="15" s="1"/>
  <c r="L268" i="15"/>
  <c r="Q268" i="15" s="1"/>
  <c r="R268" i="15" s="1"/>
  <c r="D268" i="15"/>
  <c r="I268" i="15" s="1"/>
  <c r="J268" i="15" s="1"/>
  <c r="L267" i="15"/>
  <c r="Q267" i="15" s="1"/>
  <c r="R267" i="15" s="1"/>
  <c r="D267" i="15"/>
  <c r="I267" i="15" s="1"/>
  <c r="J267" i="15" s="1"/>
  <c r="L266" i="15"/>
  <c r="Q266" i="15" s="1"/>
  <c r="R266" i="15" s="1"/>
  <c r="D266" i="15"/>
  <c r="I266" i="15" s="1"/>
  <c r="J266" i="15" s="1"/>
  <c r="L265" i="15"/>
  <c r="Q265" i="15" s="1"/>
  <c r="R265" i="15" s="1"/>
  <c r="D265" i="15"/>
  <c r="I265" i="15" s="1"/>
  <c r="J265" i="15" s="1"/>
  <c r="L264" i="15"/>
  <c r="Q264" i="15" s="1"/>
  <c r="R264" i="15" s="1"/>
  <c r="D264" i="15"/>
  <c r="I264" i="15" s="1"/>
  <c r="J264" i="15" s="1"/>
  <c r="L263" i="15"/>
  <c r="Q263" i="15" s="1"/>
  <c r="R263" i="15" s="1"/>
  <c r="D263" i="15"/>
  <c r="I263" i="15" s="1"/>
  <c r="J263" i="15" s="1"/>
  <c r="L262" i="15"/>
  <c r="Q262" i="15" s="1"/>
  <c r="R262" i="15" s="1"/>
  <c r="D262" i="15"/>
  <c r="I262" i="15" s="1"/>
  <c r="J262" i="15" s="1"/>
  <c r="L261" i="15"/>
  <c r="Q261" i="15" s="1"/>
  <c r="R261" i="15" s="1"/>
  <c r="D261" i="15"/>
  <c r="I261" i="15" s="1"/>
  <c r="J261" i="15" s="1"/>
  <c r="L260" i="15"/>
  <c r="Q260" i="15" s="1"/>
  <c r="R260" i="15" s="1"/>
  <c r="D260" i="15"/>
  <c r="I260" i="15" s="1"/>
  <c r="J260" i="15" s="1"/>
  <c r="L259" i="15"/>
  <c r="Q259" i="15" s="1"/>
  <c r="R259" i="15" s="1"/>
  <c r="D259" i="15"/>
  <c r="I259" i="15" s="1"/>
  <c r="J259" i="15" s="1"/>
  <c r="L258" i="15"/>
  <c r="Q258" i="15" s="1"/>
  <c r="R258" i="15" s="1"/>
  <c r="D258" i="15"/>
  <c r="I258" i="15" s="1"/>
  <c r="J258" i="15" s="1"/>
  <c r="L257" i="15"/>
  <c r="Q257" i="15" s="1"/>
  <c r="R257" i="15" s="1"/>
  <c r="D257" i="15"/>
  <c r="I257" i="15" s="1"/>
  <c r="J257" i="15" s="1"/>
  <c r="L256" i="15"/>
  <c r="Q256" i="15" s="1"/>
  <c r="R256" i="15" s="1"/>
  <c r="D256" i="15"/>
  <c r="I256" i="15" s="1"/>
  <c r="J256" i="15" s="1"/>
  <c r="L255" i="15"/>
  <c r="Q255" i="15" s="1"/>
  <c r="R255" i="15" s="1"/>
  <c r="D255" i="15"/>
  <c r="I255" i="15" s="1"/>
  <c r="J255" i="15" s="1"/>
  <c r="L254" i="15"/>
  <c r="Q254" i="15" s="1"/>
  <c r="R254" i="15" s="1"/>
  <c r="D254" i="15"/>
  <c r="I254" i="15" s="1"/>
  <c r="J254" i="15" s="1"/>
  <c r="L253" i="15"/>
  <c r="Q253" i="15" s="1"/>
  <c r="R253" i="15" s="1"/>
  <c r="D253" i="15"/>
  <c r="I253" i="15" s="1"/>
  <c r="J253" i="15" s="1"/>
  <c r="L252" i="15"/>
  <c r="Q252" i="15" s="1"/>
  <c r="R252" i="15" s="1"/>
  <c r="D252" i="15"/>
  <c r="I252" i="15" s="1"/>
  <c r="J252" i="15" s="1"/>
  <c r="L251" i="15"/>
  <c r="Q251" i="15" s="1"/>
  <c r="R251" i="15" s="1"/>
  <c r="D251" i="15"/>
  <c r="I251" i="15" s="1"/>
  <c r="J251" i="15" s="1"/>
  <c r="L250" i="15"/>
  <c r="Q250" i="15" s="1"/>
  <c r="R250" i="15" s="1"/>
  <c r="D250" i="15"/>
  <c r="I250" i="15" s="1"/>
  <c r="J250" i="15" s="1"/>
  <c r="L249" i="15"/>
  <c r="Q249" i="15" s="1"/>
  <c r="R249" i="15" s="1"/>
  <c r="D249" i="15"/>
  <c r="I249" i="15" s="1"/>
  <c r="J249" i="15" s="1"/>
  <c r="L248" i="15"/>
  <c r="Q248" i="15" s="1"/>
  <c r="R248" i="15" s="1"/>
  <c r="D248" i="15"/>
  <c r="I248" i="15" s="1"/>
  <c r="J248" i="15" s="1"/>
  <c r="L247" i="15"/>
  <c r="Q247" i="15" s="1"/>
  <c r="R247" i="15" s="1"/>
  <c r="D247" i="15"/>
  <c r="I247" i="15" s="1"/>
  <c r="J247" i="15" s="1"/>
  <c r="L246" i="15"/>
  <c r="Q246" i="15" s="1"/>
  <c r="R246" i="15" s="1"/>
  <c r="D246" i="15"/>
  <c r="I246" i="15" s="1"/>
  <c r="J246" i="15" s="1"/>
  <c r="L245" i="15"/>
  <c r="Q245" i="15" s="1"/>
  <c r="R245" i="15" s="1"/>
  <c r="D245" i="15"/>
  <c r="I245" i="15" s="1"/>
  <c r="J245" i="15" s="1"/>
  <c r="L244" i="15"/>
  <c r="Q244" i="15" s="1"/>
  <c r="R244" i="15" s="1"/>
  <c r="D244" i="15"/>
  <c r="I244" i="15" s="1"/>
  <c r="J244" i="15" s="1"/>
  <c r="L243" i="15"/>
  <c r="Q243" i="15" s="1"/>
  <c r="R243" i="15" s="1"/>
  <c r="D243" i="15"/>
  <c r="I243" i="15" s="1"/>
  <c r="J243" i="15" s="1"/>
  <c r="L242" i="15"/>
  <c r="Q242" i="15" s="1"/>
  <c r="R242" i="15" s="1"/>
  <c r="D242" i="15"/>
  <c r="I242" i="15" s="1"/>
  <c r="J242" i="15" s="1"/>
  <c r="L241" i="15"/>
  <c r="Q241" i="15" s="1"/>
  <c r="R241" i="15" s="1"/>
  <c r="D241" i="15"/>
  <c r="I241" i="15" s="1"/>
  <c r="J241" i="15" s="1"/>
  <c r="L240" i="15"/>
  <c r="Q240" i="15" s="1"/>
  <c r="R240" i="15" s="1"/>
  <c r="D240" i="15"/>
  <c r="I240" i="15" s="1"/>
  <c r="J240" i="15" s="1"/>
  <c r="L239" i="15"/>
  <c r="Q239" i="15" s="1"/>
  <c r="R239" i="15" s="1"/>
  <c r="D239" i="15"/>
  <c r="I239" i="15" s="1"/>
  <c r="J239" i="15" s="1"/>
  <c r="L238" i="15"/>
  <c r="Q238" i="15" s="1"/>
  <c r="R238" i="15" s="1"/>
  <c r="D238" i="15"/>
  <c r="I238" i="15" s="1"/>
  <c r="J238" i="15" s="1"/>
  <c r="L237" i="15"/>
  <c r="L236" i="15"/>
  <c r="Q236" i="15" s="1"/>
  <c r="R236" i="15" s="1"/>
  <c r="D236" i="15"/>
  <c r="I236" i="15" s="1"/>
  <c r="J236" i="15" s="1"/>
  <c r="L235" i="15"/>
  <c r="Q235" i="15" s="1"/>
  <c r="R235" i="15" s="1"/>
  <c r="D235" i="15"/>
  <c r="I235" i="15" s="1"/>
  <c r="J235" i="15" s="1"/>
  <c r="L234" i="15"/>
  <c r="Q234" i="15" s="1"/>
  <c r="R234" i="15" s="1"/>
  <c r="D234" i="15"/>
  <c r="I234" i="15" s="1"/>
  <c r="J234" i="15" s="1"/>
  <c r="L233" i="15"/>
  <c r="Q233" i="15" s="1"/>
  <c r="R233" i="15" s="1"/>
  <c r="D233" i="15"/>
  <c r="I233" i="15" s="1"/>
  <c r="J233" i="15" s="1"/>
  <c r="L232" i="15"/>
  <c r="Q232" i="15" s="1"/>
  <c r="R232" i="15" s="1"/>
  <c r="D232" i="15"/>
  <c r="I232" i="15" s="1"/>
  <c r="J232" i="15" s="1"/>
  <c r="L231" i="15"/>
  <c r="Q231" i="15" s="1"/>
  <c r="R231" i="15" s="1"/>
  <c r="D231" i="15"/>
  <c r="I231" i="15" s="1"/>
  <c r="J231" i="15" s="1"/>
  <c r="L230" i="15"/>
  <c r="Q230" i="15" s="1"/>
  <c r="R230" i="15" s="1"/>
  <c r="D230" i="15"/>
  <c r="I230" i="15" s="1"/>
  <c r="J230" i="15" s="1"/>
  <c r="L229" i="15"/>
  <c r="Q229" i="15" s="1"/>
  <c r="R229" i="15" s="1"/>
  <c r="D229" i="15"/>
  <c r="I229" i="15" s="1"/>
  <c r="J229" i="15" s="1"/>
  <c r="L228" i="15"/>
  <c r="Q228" i="15" s="1"/>
  <c r="R228" i="15" s="1"/>
  <c r="D228" i="15"/>
  <c r="I228" i="15" s="1"/>
  <c r="J228" i="15" s="1"/>
  <c r="L227" i="15"/>
  <c r="Q227" i="15" s="1"/>
  <c r="R227" i="15" s="1"/>
  <c r="D227" i="15"/>
  <c r="I227" i="15" s="1"/>
  <c r="J227" i="15" s="1"/>
  <c r="L226" i="15"/>
  <c r="Q226" i="15" s="1"/>
  <c r="R226" i="15" s="1"/>
  <c r="D226" i="15"/>
  <c r="I226" i="15" s="1"/>
  <c r="J226" i="15" s="1"/>
  <c r="L225" i="15"/>
  <c r="Q225" i="15" s="1"/>
  <c r="R225" i="15" s="1"/>
  <c r="D225" i="15"/>
  <c r="I225" i="15" s="1"/>
  <c r="J225" i="15" s="1"/>
  <c r="L224" i="15"/>
  <c r="Q224" i="15" s="1"/>
  <c r="R224" i="15" s="1"/>
  <c r="D224" i="15"/>
  <c r="I224" i="15" s="1"/>
  <c r="J224" i="15" s="1"/>
  <c r="L223" i="15"/>
  <c r="Q223" i="15" s="1"/>
  <c r="R223" i="15" s="1"/>
  <c r="D223" i="15"/>
  <c r="I223" i="15" s="1"/>
  <c r="J223" i="15" s="1"/>
  <c r="L222" i="15"/>
  <c r="Q222" i="15" s="1"/>
  <c r="R222" i="15" s="1"/>
  <c r="D222" i="15"/>
  <c r="I222" i="15" s="1"/>
  <c r="J222" i="15" s="1"/>
  <c r="L221" i="15"/>
  <c r="Q221" i="15" s="1"/>
  <c r="R221" i="15" s="1"/>
  <c r="D221" i="15"/>
  <c r="I221" i="15" s="1"/>
  <c r="J221" i="15" s="1"/>
  <c r="L220" i="15"/>
  <c r="Q220" i="15" s="1"/>
  <c r="R220" i="15" s="1"/>
  <c r="D220" i="15"/>
  <c r="I220" i="15" s="1"/>
  <c r="J220" i="15" s="1"/>
  <c r="L219" i="15"/>
  <c r="Q219" i="15" s="1"/>
  <c r="R219" i="15" s="1"/>
  <c r="D219" i="15"/>
  <c r="I219" i="15" s="1"/>
  <c r="J219" i="15" s="1"/>
  <c r="L218" i="15"/>
  <c r="Q218" i="15" s="1"/>
  <c r="R218" i="15" s="1"/>
  <c r="D218" i="15"/>
  <c r="I218" i="15" s="1"/>
  <c r="J218" i="15" s="1"/>
  <c r="L217" i="15"/>
  <c r="Q217" i="15" s="1"/>
  <c r="R217" i="15" s="1"/>
  <c r="D217" i="15"/>
  <c r="I217" i="15" s="1"/>
  <c r="J217" i="15" s="1"/>
  <c r="L215" i="15"/>
  <c r="Q215" i="15" s="1"/>
  <c r="R215" i="15" s="1"/>
  <c r="D215" i="15"/>
  <c r="I215" i="15" s="1"/>
  <c r="J215" i="15" s="1"/>
  <c r="L214" i="15"/>
  <c r="Q214" i="15" s="1"/>
  <c r="R214" i="15" s="1"/>
  <c r="D214" i="15"/>
  <c r="I214" i="15" s="1"/>
  <c r="J214" i="15" s="1"/>
  <c r="L213" i="15"/>
  <c r="Q213" i="15" s="1"/>
  <c r="R213" i="15" s="1"/>
  <c r="D213" i="15"/>
  <c r="I213" i="15" s="1"/>
  <c r="J213" i="15" s="1"/>
  <c r="L212" i="15"/>
  <c r="Q212" i="15" s="1"/>
  <c r="R212" i="15" s="1"/>
  <c r="D212" i="15"/>
  <c r="I212" i="15" s="1"/>
  <c r="J212" i="15" s="1"/>
  <c r="L211" i="15"/>
  <c r="Q211" i="15" s="1"/>
  <c r="R211" i="15" s="1"/>
  <c r="D211" i="15"/>
  <c r="I211" i="15" s="1"/>
  <c r="J211" i="15" s="1"/>
  <c r="L210" i="15"/>
  <c r="Q210" i="15" s="1"/>
  <c r="R210" i="15" s="1"/>
  <c r="D210" i="15"/>
  <c r="I210" i="15" s="1"/>
  <c r="J210" i="15" s="1"/>
  <c r="L209" i="15"/>
  <c r="Q209" i="15" s="1"/>
  <c r="R209" i="15" s="1"/>
  <c r="D209" i="15"/>
  <c r="I209" i="15" s="1"/>
  <c r="J209" i="15" s="1"/>
  <c r="L208" i="15"/>
  <c r="Q208" i="15" s="1"/>
  <c r="R208" i="15" s="1"/>
  <c r="D208" i="15"/>
  <c r="I208" i="15" s="1"/>
  <c r="J208" i="15" s="1"/>
  <c r="L207" i="15"/>
  <c r="Q207" i="15" s="1"/>
  <c r="R207" i="15" s="1"/>
  <c r="D207" i="15"/>
  <c r="I207" i="15" s="1"/>
  <c r="J207" i="15" s="1"/>
  <c r="L206" i="15"/>
  <c r="Q206" i="15" s="1"/>
  <c r="R206" i="15" s="1"/>
  <c r="D206" i="15"/>
  <c r="I206" i="15" s="1"/>
  <c r="J206" i="15" s="1"/>
  <c r="L205" i="15"/>
  <c r="Q205" i="15" s="1"/>
  <c r="R205" i="15" s="1"/>
  <c r="D205" i="15"/>
  <c r="I205" i="15" s="1"/>
  <c r="J205" i="15" s="1"/>
  <c r="L204" i="15"/>
  <c r="Q204" i="15" s="1"/>
  <c r="R204" i="15" s="1"/>
  <c r="D204" i="15"/>
  <c r="I204" i="15" s="1"/>
  <c r="J204" i="15" s="1"/>
  <c r="L203" i="15"/>
  <c r="Q203" i="15" s="1"/>
  <c r="R203" i="15" s="1"/>
  <c r="D203" i="15"/>
  <c r="I203" i="15" s="1"/>
  <c r="J203" i="15" s="1"/>
  <c r="L202" i="15"/>
  <c r="Q202" i="15" s="1"/>
  <c r="R202" i="15" s="1"/>
  <c r="D202" i="15"/>
  <c r="I202" i="15" s="1"/>
  <c r="J202" i="15" s="1"/>
  <c r="L201" i="15"/>
  <c r="Q201" i="15" s="1"/>
  <c r="R201" i="15" s="1"/>
  <c r="D201" i="15"/>
  <c r="I201" i="15" s="1"/>
  <c r="J201" i="15" s="1"/>
  <c r="L200" i="15"/>
  <c r="Q200" i="15" s="1"/>
  <c r="R200" i="15" s="1"/>
  <c r="D200" i="15"/>
  <c r="I200" i="15" s="1"/>
  <c r="J200" i="15" s="1"/>
  <c r="L199" i="15"/>
  <c r="Q199" i="15" s="1"/>
  <c r="R199" i="15" s="1"/>
  <c r="D199" i="15"/>
  <c r="I199" i="15" s="1"/>
  <c r="J199" i="15" s="1"/>
  <c r="L198" i="15"/>
  <c r="Q198" i="15" s="1"/>
  <c r="R198" i="15" s="1"/>
  <c r="D198" i="15"/>
  <c r="I198" i="15" s="1"/>
  <c r="J198" i="15" s="1"/>
  <c r="L197" i="15"/>
  <c r="Q197" i="15" s="1"/>
  <c r="R197" i="15" s="1"/>
  <c r="D197" i="15"/>
  <c r="I197" i="15" s="1"/>
  <c r="J197" i="15" s="1"/>
  <c r="L196" i="15"/>
  <c r="Q196" i="15" s="1"/>
  <c r="R196" i="15" s="1"/>
  <c r="D196" i="15"/>
  <c r="I196" i="15" s="1"/>
  <c r="J196" i="15" s="1"/>
  <c r="L164" i="15"/>
  <c r="Q164" i="15" s="1"/>
  <c r="R164" i="15" s="1"/>
  <c r="D164" i="15"/>
  <c r="I164" i="15" s="1"/>
  <c r="J164" i="15" s="1"/>
  <c r="L163" i="15"/>
  <c r="Q163" i="15" s="1"/>
  <c r="R163" i="15" s="1"/>
  <c r="D163" i="15"/>
  <c r="I163" i="15" s="1"/>
  <c r="J163" i="15" s="1"/>
  <c r="L162" i="15"/>
  <c r="Q162" i="15" s="1"/>
  <c r="R162" i="15" s="1"/>
  <c r="D162" i="15"/>
  <c r="I162" i="15" s="1"/>
  <c r="J162" i="15" s="1"/>
  <c r="L161" i="15"/>
  <c r="Q161" i="15" s="1"/>
  <c r="R161" i="15" s="1"/>
  <c r="D161" i="15"/>
  <c r="I161" i="15" s="1"/>
  <c r="J161" i="15" s="1"/>
  <c r="L160" i="15"/>
  <c r="Q160" i="15" s="1"/>
  <c r="R160" i="15" s="1"/>
  <c r="D160" i="15"/>
  <c r="I160" i="15" s="1"/>
  <c r="J160" i="15" s="1"/>
  <c r="L159" i="15"/>
  <c r="Q159" i="15" s="1"/>
  <c r="R159" i="15" s="1"/>
  <c r="D159" i="15"/>
  <c r="I159" i="15" s="1"/>
  <c r="J159" i="15" s="1"/>
  <c r="L158" i="15"/>
  <c r="Q158" i="15" s="1"/>
  <c r="R158" i="15" s="1"/>
  <c r="D158" i="15"/>
  <c r="I158" i="15" s="1"/>
  <c r="J158" i="15" s="1"/>
  <c r="L157" i="15"/>
  <c r="Q157" i="15" s="1"/>
  <c r="R157" i="15" s="1"/>
  <c r="D157" i="15"/>
  <c r="I157" i="15" s="1"/>
  <c r="J157" i="15" s="1"/>
  <c r="L156" i="15"/>
  <c r="L155" i="15"/>
  <c r="Q155" i="15" s="1"/>
  <c r="R155" i="15" s="1"/>
  <c r="D155" i="15"/>
  <c r="I155" i="15" s="1"/>
  <c r="J155" i="15" s="1"/>
  <c r="L154" i="15"/>
  <c r="Q154" i="15" s="1"/>
  <c r="R154" i="15" s="1"/>
  <c r="D154" i="15"/>
  <c r="I154" i="15" s="1"/>
  <c r="J154" i="15" s="1"/>
  <c r="L153" i="15"/>
  <c r="Q153" i="15" s="1"/>
  <c r="R153" i="15" s="1"/>
  <c r="D153" i="15"/>
  <c r="I153" i="15" s="1"/>
  <c r="J153" i="15" s="1"/>
  <c r="L152" i="15"/>
  <c r="Q152" i="15" s="1"/>
  <c r="R152" i="15" s="1"/>
  <c r="D152" i="15"/>
  <c r="I152" i="15" s="1"/>
  <c r="J152" i="15" s="1"/>
  <c r="L151" i="15"/>
  <c r="Q151" i="15" s="1"/>
  <c r="R151" i="15" s="1"/>
  <c r="D151" i="15"/>
  <c r="I151" i="15" s="1"/>
  <c r="J151" i="15" s="1"/>
  <c r="L150" i="15"/>
  <c r="Q150" i="15" s="1"/>
  <c r="R150" i="15" s="1"/>
  <c r="D150" i="15"/>
  <c r="I150" i="15" s="1"/>
  <c r="J150" i="15" s="1"/>
  <c r="L149" i="15"/>
  <c r="Q149" i="15" s="1"/>
  <c r="R149" i="15" s="1"/>
  <c r="D149" i="15"/>
  <c r="I149" i="15" s="1"/>
  <c r="J149" i="15" s="1"/>
  <c r="L148" i="15"/>
  <c r="Q148" i="15" s="1"/>
  <c r="R148" i="15" s="1"/>
  <c r="D148" i="15"/>
  <c r="I148" i="15" s="1"/>
  <c r="J148" i="15" s="1"/>
  <c r="L147" i="15"/>
  <c r="Q147" i="15" s="1"/>
  <c r="R147" i="15" s="1"/>
  <c r="D147" i="15"/>
  <c r="I147" i="15" s="1"/>
  <c r="J147" i="15" s="1"/>
  <c r="L146" i="15"/>
  <c r="Q146" i="15" s="1"/>
  <c r="R146" i="15" s="1"/>
  <c r="D146" i="15"/>
  <c r="I146" i="15" s="1"/>
  <c r="J146" i="15" s="1"/>
  <c r="L145" i="15"/>
  <c r="Q145" i="15" s="1"/>
  <c r="R145" i="15" s="1"/>
  <c r="D145" i="15"/>
  <c r="I145" i="15" s="1"/>
  <c r="J145" i="15" s="1"/>
  <c r="L144" i="15"/>
  <c r="Q144" i="15" s="1"/>
  <c r="R144" i="15" s="1"/>
  <c r="D144" i="15"/>
  <c r="I144" i="15" s="1"/>
  <c r="J144" i="15" s="1"/>
  <c r="L143" i="15"/>
  <c r="Q143" i="15" s="1"/>
  <c r="R143" i="15" s="1"/>
  <c r="D143" i="15"/>
  <c r="I143" i="15" s="1"/>
  <c r="J143" i="15" s="1"/>
  <c r="L142" i="15"/>
  <c r="Q142" i="15" s="1"/>
  <c r="R142" i="15" s="1"/>
  <c r="D142" i="15"/>
  <c r="I142" i="15" s="1"/>
  <c r="J142" i="15" s="1"/>
  <c r="L141" i="15"/>
  <c r="Q141" i="15" s="1"/>
  <c r="R141" i="15" s="1"/>
  <c r="D141" i="15"/>
  <c r="I141" i="15" s="1"/>
  <c r="J141" i="15" s="1"/>
  <c r="L140" i="15"/>
  <c r="Q140" i="15" s="1"/>
  <c r="R140" i="15" s="1"/>
  <c r="D140" i="15"/>
  <c r="I140" i="15" s="1"/>
  <c r="J140" i="15" s="1"/>
  <c r="L139" i="15"/>
  <c r="L138" i="15"/>
  <c r="Q138" i="15" s="1"/>
  <c r="R138" i="15" s="1"/>
  <c r="D138" i="15"/>
  <c r="I138" i="15" s="1"/>
  <c r="J138" i="15" s="1"/>
  <c r="L137" i="15"/>
  <c r="Q137" i="15" s="1"/>
  <c r="R137" i="15" s="1"/>
  <c r="D137" i="15"/>
  <c r="I137" i="15" s="1"/>
  <c r="J137" i="15" s="1"/>
  <c r="L136" i="15"/>
  <c r="Q136" i="15" s="1"/>
  <c r="R136" i="15" s="1"/>
  <c r="D136" i="15"/>
  <c r="I136" i="15" s="1"/>
  <c r="J136" i="15" s="1"/>
  <c r="L135" i="15"/>
  <c r="Q135" i="15" s="1"/>
  <c r="R135" i="15" s="1"/>
  <c r="D135" i="15"/>
  <c r="I135" i="15" s="1"/>
  <c r="J135" i="15" s="1"/>
  <c r="L134" i="15"/>
  <c r="Q134" i="15" s="1"/>
  <c r="R134" i="15" s="1"/>
  <c r="D134" i="15"/>
  <c r="I134" i="15" s="1"/>
  <c r="J134" i="15" s="1"/>
  <c r="L133" i="15"/>
  <c r="Q133" i="15" s="1"/>
  <c r="R133" i="15" s="1"/>
  <c r="D133" i="15"/>
  <c r="I133" i="15" s="1"/>
  <c r="J133" i="15" s="1"/>
  <c r="L132" i="15"/>
  <c r="Q132" i="15" s="1"/>
  <c r="R132" i="15" s="1"/>
  <c r="D132" i="15"/>
  <c r="I132" i="15" s="1"/>
  <c r="J132" i="15" s="1"/>
  <c r="L131" i="15"/>
  <c r="Q131" i="15" s="1"/>
  <c r="R131" i="15" s="1"/>
  <c r="D131" i="15"/>
  <c r="I131" i="15" s="1"/>
  <c r="J131" i="15" s="1"/>
  <c r="L130" i="15"/>
  <c r="Q130" i="15" s="1"/>
  <c r="R130" i="15" s="1"/>
  <c r="D130" i="15"/>
  <c r="I130" i="15" s="1"/>
  <c r="J130" i="15" s="1"/>
  <c r="L129" i="15"/>
  <c r="Q129" i="15" s="1"/>
  <c r="R129" i="15" s="1"/>
  <c r="D129" i="15"/>
  <c r="I129" i="15" s="1"/>
  <c r="J129" i="15" s="1"/>
  <c r="L128" i="15"/>
  <c r="Q128" i="15" s="1"/>
  <c r="R128" i="15" s="1"/>
  <c r="D128" i="15"/>
  <c r="I128" i="15" s="1"/>
  <c r="J128" i="15" s="1"/>
  <c r="L127" i="15"/>
  <c r="Q127" i="15" s="1"/>
  <c r="R127" i="15" s="1"/>
  <c r="D127" i="15"/>
  <c r="I127" i="15" s="1"/>
  <c r="J127" i="15" s="1"/>
  <c r="L126" i="15"/>
  <c r="Q126" i="15" s="1"/>
  <c r="R126" i="15" s="1"/>
  <c r="D126" i="15"/>
  <c r="I126" i="15" s="1"/>
  <c r="J126" i="15" s="1"/>
  <c r="L125" i="15"/>
  <c r="Q125" i="15" s="1"/>
  <c r="R125" i="15" s="1"/>
  <c r="D125" i="15"/>
  <c r="I125" i="15" s="1"/>
  <c r="J125" i="15" s="1"/>
  <c r="L124" i="15"/>
  <c r="Q124" i="15" s="1"/>
  <c r="R124" i="15" s="1"/>
  <c r="D124" i="15"/>
  <c r="I124" i="15" s="1"/>
  <c r="J124" i="15" s="1"/>
  <c r="L123" i="15"/>
  <c r="Q123" i="15" s="1"/>
  <c r="R123" i="15" s="1"/>
  <c r="D123" i="15"/>
  <c r="I123" i="15" s="1"/>
  <c r="J123" i="15" s="1"/>
  <c r="L122" i="15"/>
  <c r="L121" i="15"/>
  <c r="Q121" i="15" s="1"/>
  <c r="R121" i="15" s="1"/>
  <c r="D121" i="15"/>
  <c r="I121" i="15" s="1"/>
  <c r="J121" i="15" s="1"/>
  <c r="L120" i="15"/>
  <c r="Q120" i="15" s="1"/>
  <c r="R120" i="15" s="1"/>
  <c r="D120" i="15"/>
  <c r="I120" i="15" s="1"/>
  <c r="J120" i="15" s="1"/>
  <c r="L119" i="15"/>
  <c r="Q119" i="15" s="1"/>
  <c r="R119" i="15" s="1"/>
  <c r="D119" i="15"/>
  <c r="I119" i="15" s="1"/>
  <c r="J119" i="15" s="1"/>
  <c r="L118" i="15"/>
  <c r="Q118" i="15" s="1"/>
  <c r="R118" i="15" s="1"/>
  <c r="D118" i="15"/>
  <c r="I118" i="15" s="1"/>
  <c r="J118" i="15" s="1"/>
  <c r="L117" i="15"/>
  <c r="Q117" i="15" s="1"/>
  <c r="R117" i="15" s="1"/>
  <c r="D117" i="15"/>
  <c r="I117" i="15" s="1"/>
  <c r="J117" i="15" s="1"/>
  <c r="L116" i="15"/>
  <c r="Q116" i="15" s="1"/>
  <c r="R116" i="15" s="1"/>
  <c r="D116" i="15"/>
  <c r="I116" i="15" s="1"/>
  <c r="J116" i="15" s="1"/>
  <c r="L115" i="15"/>
  <c r="Q115" i="15" s="1"/>
  <c r="R115" i="15" s="1"/>
  <c r="D115" i="15"/>
  <c r="I115" i="15" s="1"/>
  <c r="J115" i="15" s="1"/>
  <c r="L114" i="15"/>
  <c r="Q114" i="15" s="1"/>
  <c r="R114" i="15" s="1"/>
  <c r="D114" i="15"/>
  <c r="I114" i="15" s="1"/>
  <c r="J114" i="15" s="1"/>
  <c r="L113" i="15"/>
  <c r="Q113" i="15" s="1"/>
  <c r="R113" i="15" s="1"/>
  <c r="D113" i="15"/>
  <c r="I113" i="15" s="1"/>
  <c r="J113" i="15" s="1"/>
  <c r="L112" i="15"/>
  <c r="Q112" i="15" s="1"/>
  <c r="R112" i="15" s="1"/>
  <c r="D112" i="15"/>
  <c r="I112" i="15" s="1"/>
  <c r="J112" i="15" s="1"/>
  <c r="L111" i="15"/>
  <c r="Q111" i="15" s="1"/>
  <c r="R111" i="15" s="1"/>
  <c r="D111" i="15"/>
  <c r="I111" i="15" s="1"/>
  <c r="J111" i="15" s="1"/>
  <c r="L110" i="15"/>
  <c r="Q110" i="15" s="1"/>
  <c r="R110" i="15" s="1"/>
  <c r="D110" i="15"/>
  <c r="I110" i="15" s="1"/>
  <c r="J110" i="15" s="1"/>
  <c r="L109" i="15"/>
  <c r="Q109" i="15" s="1"/>
  <c r="R109" i="15" s="1"/>
  <c r="D109" i="15"/>
  <c r="I109" i="15" s="1"/>
  <c r="J109" i="15" s="1"/>
  <c r="L108" i="15"/>
  <c r="Q108" i="15" s="1"/>
  <c r="R108" i="15" s="1"/>
  <c r="D108" i="15"/>
  <c r="I108" i="15" s="1"/>
  <c r="J108" i="15" s="1"/>
  <c r="L107" i="15"/>
  <c r="Q107" i="15" s="1"/>
  <c r="R107" i="15" s="1"/>
  <c r="D107" i="15"/>
  <c r="I107" i="15" s="1"/>
  <c r="J107" i="15" s="1"/>
  <c r="L106" i="15"/>
  <c r="Q106" i="15" s="1"/>
  <c r="R106" i="15" s="1"/>
  <c r="D106" i="15"/>
  <c r="I106" i="15" s="1"/>
  <c r="J106" i="15" s="1"/>
  <c r="L105" i="15"/>
  <c r="Q105" i="15" s="1"/>
  <c r="R105" i="15" s="1"/>
  <c r="D105" i="15"/>
  <c r="I105" i="15" s="1"/>
  <c r="J105" i="15" s="1"/>
  <c r="L104" i="15"/>
  <c r="Q104" i="15" s="1"/>
  <c r="R104" i="15" s="1"/>
  <c r="D104" i="15"/>
  <c r="I104" i="15" s="1"/>
  <c r="J104" i="15" s="1"/>
  <c r="L103" i="15"/>
  <c r="Q103" i="15" s="1"/>
  <c r="R103" i="15" s="1"/>
  <c r="D103" i="15"/>
  <c r="I103" i="15" s="1"/>
  <c r="J103" i="15" s="1"/>
  <c r="L102" i="15"/>
  <c r="Q102" i="15" s="1"/>
  <c r="R102" i="15" s="1"/>
  <c r="D102" i="15"/>
  <c r="I102" i="15" s="1"/>
  <c r="J102" i="15" s="1"/>
  <c r="L101" i="15"/>
  <c r="Q101" i="15" s="1"/>
  <c r="R101" i="15" s="1"/>
  <c r="D101" i="15"/>
  <c r="I101" i="15" s="1"/>
  <c r="J101" i="15" s="1"/>
  <c r="L100" i="15"/>
  <c r="Q100" i="15" s="1"/>
  <c r="R100" i="15" s="1"/>
  <c r="D100" i="15"/>
  <c r="I100" i="15" s="1"/>
  <c r="J100" i="15" s="1"/>
  <c r="L99" i="15"/>
  <c r="Q99" i="15" s="1"/>
  <c r="R99" i="15" s="1"/>
  <c r="D99" i="15"/>
  <c r="I99" i="15" s="1"/>
  <c r="J99" i="15" s="1"/>
  <c r="L98" i="15"/>
  <c r="Q98" i="15" s="1"/>
  <c r="R98" i="15" s="1"/>
  <c r="D98" i="15"/>
  <c r="I98" i="15" s="1"/>
  <c r="J98" i="15" s="1"/>
  <c r="L97" i="15"/>
  <c r="Q97" i="15" s="1"/>
  <c r="R97" i="15" s="1"/>
  <c r="D97" i="15"/>
  <c r="I97" i="15" s="1"/>
  <c r="J97" i="15" s="1"/>
  <c r="L96" i="15"/>
  <c r="Q96" i="15" s="1"/>
  <c r="R96" i="15" s="1"/>
  <c r="D96" i="15"/>
  <c r="I96" i="15" s="1"/>
  <c r="J96" i="15" s="1"/>
  <c r="L95" i="15"/>
  <c r="Q95" i="15" s="1"/>
  <c r="R95" i="15" s="1"/>
  <c r="D95" i="15"/>
  <c r="I95" i="15" s="1"/>
  <c r="J95" i="15" s="1"/>
  <c r="L94" i="15"/>
  <c r="Q94" i="15" s="1"/>
  <c r="R94" i="15" s="1"/>
  <c r="D94" i="15"/>
  <c r="I94" i="15" s="1"/>
  <c r="J94" i="15" s="1"/>
  <c r="L93" i="15"/>
  <c r="Q93" i="15" s="1"/>
  <c r="R93" i="15" s="1"/>
  <c r="D93" i="15"/>
  <c r="I93" i="15" s="1"/>
  <c r="J93" i="15" s="1"/>
  <c r="L92" i="15"/>
  <c r="Q92" i="15" s="1"/>
  <c r="R92" i="15" s="1"/>
  <c r="D92" i="15"/>
  <c r="I92" i="15" s="1"/>
  <c r="J92" i="15" s="1"/>
  <c r="L91" i="15"/>
  <c r="Q91" i="15" s="1"/>
  <c r="R91" i="15" s="1"/>
  <c r="D91" i="15"/>
  <c r="I91" i="15" s="1"/>
  <c r="J91" i="15" s="1"/>
  <c r="L90" i="15"/>
  <c r="Q90" i="15" s="1"/>
  <c r="R90" i="15" s="1"/>
  <c r="D90" i="15"/>
  <c r="I90" i="15" s="1"/>
  <c r="J90" i="15" s="1"/>
  <c r="L89" i="15"/>
  <c r="Q89" i="15" s="1"/>
  <c r="R89" i="15" s="1"/>
  <c r="D89" i="15"/>
  <c r="I89" i="15" s="1"/>
  <c r="J89" i="15" s="1"/>
  <c r="L88" i="15"/>
  <c r="Q88" i="15" s="1"/>
  <c r="R88" i="15" s="1"/>
  <c r="D88" i="15"/>
  <c r="I88" i="15" s="1"/>
  <c r="J88" i="15" s="1"/>
  <c r="L87" i="15"/>
  <c r="L86" i="15"/>
  <c r="Q86" i="15" s="1"/>
  <c r="R86" i="15" s="1"/>
  <c r="D86" i="15"/>
  <c r="I86" i="15" s="1"/>
  <c r="J86" i="15" s="1"/>
  <c r="L85" i="15"/>
  <c r="Q85" i="15" s="1"/>
  <c r="R85" i="15" s="1"/>
  <c r="D85" i="15"/>
  <c r="I85" i="15" s="1"/>
  <c r="J85" i="15" s="1"/>
  <c r="L84" i="15"/>
  <c r="Q84" i="15" s="1"/>
  <c r="R84" i="15" s="1"/>
  <c r="D84" i="15"/>
  <c r="I84" i="15" s="1"/>
  <c r="J84" i="15" s="1"/>
  <c r="L83" i="15"/>
  <c r="Q83" i="15" s="1"/>
  <c r="R83" i="15" s="1"/>
  <c r="D83" i="15"/>
  <c r="I83" i="15" s="1"/>
  <c r="J83" i="15" s="1"/>
  <c r="L82" i="15"/>
  <c r="Q82" i="15" s="1"/>
  <c r="R82" i="15" s="1"/>
  <c r="D82" i="15"/>
  <c r="I82" i="15" s="1"/>
  <c r="J82" i="15" s="1"/>
  <c r="L81" i="15"/>
  <c r="Q81" i="15" s="1"/>
  <c r="R81" i="15" s="1"/>
  <c r="D81" i="15"/>
  <c r="I81" i="15" s="1"/>
  <c r="J81" i="15" s="1"/>
  <c r="L80" i="15"/>
  <c r="Q80" i="15" s="1"/>
  <c r="R80" i="15" s="1"/>
  <c r="D80" i="15"/>
  <c r="I80" i="15" s="1"/>
  <c r="J80" i="15" s="1"/>
  <c r="L79" i="15"/>
  <c r="Q79" i="15" s="1"/>
  <c r="R79" i="15" s="1"/>
  <c r="D79" i="15"/>
  <c r="I79" i="15" s="1"/>
  <c r="J79" i="15" s="1"/>
  <c r="L78" i="15"/>
  <c r="Q78" i="15" s="1"/>
  <c r="R78" i="15" s="1"/>
  <c r="D78" i="15"/>
  <c r="I78" i="15" s="1"/>
  <c r="J78" i="15" s="1"/>
  <c r="L77" i="15"/>
  <c r="Q77" i="15" s="1"/>
  <c r="R77" i="15" s="1"/>
  <c r="D77" i="15"/>
  <c r="I77" i="15" s="1"/>
  <c r="J77" i="15" s="1"/>
  <c r="L76" i="15"/>
  <c r="Q76" i="15" s="1"/>
  <c r="R76" i="15" s="1"/>
  <c r="D76" i="15"/>
  <c r="I76" i="15" s="1"/>
  <c r="J76" i="15" s="1"/>
  <c r="L75" i="15"/>
  <c r="Q75" i="15" s="1"/>
  <c r="R75" i="15" s="1"/>
  <c r="D75" i="15"/>
  <c r="I75" i="15" s="1"/>
  <c r="J75" i="15" s="1"/>
  <c r="L74" i="15"/>
  <c r="Q74" i="15" s="1"/>
  <c r="R74" i="15" s="1"/>
  <c r="D74" i="15"/>
  <c r="I74" i="15" s="1"/>
  <c r="J74" i="15" s="1"/>
  <c r="L73" i="15"/>
  <c r="Q73" i="15" s="1"/>
  <c r="R73" i="15" s="1"/>
  <c r="D73" i="15"/>
  <c r="I73" i="15" s="1"/>
  <c r="J73" i="15" s="1"/>
  <c r="L72" i="15"/>
  <c r="Q72" i="15" s="1"/>
  <c r="R72" i="15" s="1"/>
  <c r="D72" i="15"/>
  <c r="I72" i="15" s="1"/>
  <c r="J72" i="15" s="1"/>
  <c r="L71" i="15"/>
  <c r="Q71" i="15" s="1"/>
  <c r="R71" i="15" s="1"/>
  <c r="D71" i="15"/>
  <c r="I71" i="15" s="1"/>
  <c r="J71" i="15" s="1"/>
  <c r="L70" i="15"/>
  <c r="Q70" i="15" s="1"/>
  <c r="R70" i="15" s="1"/>
  <c r="D70" i="15"/>
  <c r="I70" i="15" s="1"/>
  <c r="J70" i="15" s="1"/>
  <c r="L69" i="15"/>
  <c r="Q69" i="15" s="1"/>
  <c r="R69" i="15" s="1"/>
  <c r="D69" i="15"/>
  <c r="I69" i="15" s="1"/>
  <c r="J69" i="15" s="1"/>
  <c r="L68" i="15"/>
  <c r="Q68" i="15" s="1"/>
  <c r="R68" i="15" s="1"/>
  <c r="D68" i="15"/>
  <c r="I68" i="15" s="1"/>
  <c r="J68" i="15" s="1"/>
  <c r="L67" i="15"/>
  <c r="Q67" i="15" s="1"/>
  <c r="R67" i="15" s="1"/>
  <c r="D67" i="15"/>
  <c r="I67" i="15" s="1"/>
  <c r="J67" i="15" s="1"/>
  <c r="L66" i="15"/>
  <c r="Q66" i="15" s="1"/>
  <c r="R66" i="15" s="1"/>
  <c r="D66" i="15"/>
  <c r="I66" i="15" s="1"/>
  <c r="J66" i="15" s="1"/>
  <c r="L65" i="15"/>
  <c r="Q65" i="15" s="1"/>
  <c r="R65" i="15" s="1"/>
  <c r="D65" i="15"/>
  <c r="I65" i="15" s="1"/>
  <c r="J65" i="15" s="1"/>
  <c r="L64" i="15"/>
  <c r="Q64" i="15" s="1"/>
  <c r="R64" i="15" s="1"/>
  <c r="D64" i="15"/>
  <c r="I64" i="15" s="1"/>
  <c r="J64" i="15" s="1"/>
  <c r="L63" i="15"/>
  <c r="L62" i="15"/>
  <c r="Q62" i="15" s="1"/>
  <c r="R62" i="15" s="1"/>
  <c r="D62" i="15"/>
  <c r="I62" i="15" s="1"/>
  <c r="J62" i="15" s="1"/>
  <c r="L61" i="15"/>
  <c r="Q61" i="15" s="1"/>
  <c r="R61" i="15" s="1"/>
  <c r="D61" i="15"/>
  <c r="I61" i="15" s="1"/>
  <c r="J61" i="15" s="1"/>
  <c r="L60" i="15"/>
  <c r="Q60" i="15" s="1"/>
  <c r="R60" i="15" s="1"/>
  <c r="D60" i="15"/>
  <c r="I60" i="15" s="1"/>
  <c r="J60" i="15" s="1"/>
  <c r="L59" i="15"/>
  <c r="Q59" i="15" s="1"/>
  <c r="R59" i="15" s="1"/>
  <c r="D59" i="15"/>
  <c r="I59" i="15" s="1"/>
  <c r="J59" i="15" s="1"/>
  <c r="L58" i="15"/>
  <c r="Q58" i="15" s="1"/>
  <c r="R58" i="15" s="1"/>
  <c r="D58" i="15"/>
  <c r="I58" i="15" s="1"/>
  <c r="J58" i="15" s="1"/>
  <c r="L57" i="15"/>
  <c r="Q57" i="15" s="1"/>
  <c r="R57" i="15" s="1"/>
  <c r="D57" i="15"/>
  <c r="I57" i="15" s="1"/>
  <c r="J57" i="15" s="1"/>
  <c r="L56" i="15"/>
  <c r="Q56" i="15" s="1"/>
  <c r="R56" i="15" s="1"/>
  <c r="D56" i="15"/>
  <c r="I56" i="15" s="1"/>
  <c r="J56" i="15" s="1"/>
  <c r="L55" i="15"/>
  <c r="Q55" i="15" s="1"/>
  <c r="R55" i="15" s="1"/>
  <c r="D55" i="15"/>
  <c r="I55" i="15" s="1"/>
  <c r="J55" i="15" s="1"/>
  <c r="L54" i="15"/>
  <c r="Q54" i="15" s="1"/>
  <c r="R54" i="15" s="1"/>
  <c r="D54" i="15"/>
  <c r="I54" i="15" s="1"/>
  <c r="J54" i="15" s="1"/>
  <c r="L53" i="15"/>
  <c r="Q53" i="15" s="1"/>
  <c r="R53" i="15" s="1"/>
  <c r="D53" i="15"/>
  <c r="I53" i="15" s="1"/>
  <c r="J53" i="15" s="1"/>
  <c r="L52" i="15"/>
  <c r="Q52" i="15" s="1"/>
  <c r="R52" i="15" s="1"/>
  <c r="D52" i="15"/>
  <c r="I52" i="15" s="1"/>
  <c r="J52" i="15" s="1"/>
  <c r="L51" i="15"/>
  <c r="Q51" i="15" s="1"/>
  <c r="R51" i="15" s="1"/>
  <c r="D51" i="15"/>
  <c r="I51" i="15" s="1"/>
  <c r="J51" i="15" s="1"/>
  <c r="L50" i="15"/>
  <c r="Q50" i="15" s="1"/>
  <c r="R50" i="15" s="1"/>
  <c r="D50" i="15"/>
  <c r="I50" i="15" s="1"/>
  <c r="J50" i="15" s="1"/>
  <c r="L49" i="15"/>
  <c r="Q49" i="15" s="1"/>
  <c r="R49" i="15" s="1"/>
  <c r="D49" i="15"/>
  <c r="I49" i="15" s="1"/>
  <c r="J49" i="15" s="1"/>
  <c r="L48" i="15"/>
  <c r="Q48" i="15" s="1"/>
  <c r="R48" i="15" s="1"/>
  <c r="D48" i="15"/>
  <c r="I48" i="15" s="1"/>
  <c r="J48" i="15" s="1"/>
  <c r="L47" i="15"/>
  <c r="Q47" i="15" s="1"/>
  <c r="R47" i="15" s="1"/>
  <c r="D47" i="15"/>
  <c r="I47" i="15" s="1"/>
  <c r="J47" i="15" s="1"/>
  <c r="L46" i="15"/>
  <c r="Q46" i="15" s="1"/>
  <c r="R46" i="15" s="1"/>
  <c r="D46" i="15"/>
  <c r="I46" i="15" s="1"/>
  <c r="J46" i="15" s="1"/>
  <c r="L45" i="15"/>
  <c r="Q45" i="15" s="1"/>
  <c r="R45" i="15" s="1"/>
  <c r="D45" i="15"/>
  <c r="I45" i="15" s="1"/>
  <c r="J45" i="15" s="1"/>
  <c r="L44" i="15"/>
  <c r="L43" i="15"/>
  <c r="Q43" i="15" s="1"/>
  <c r="R43" i="15" s="1"/>
  <c r="D43" i="15"/>
  <c r="I43" i="15" s="1"/>
  <c r="J43" i="15" s="1"/>
  <c r="L42" i="15"/>
  <c r="Q42" i="15" s="1"/>
  <c r="R42" i="15" s="1"/>
  <c r="D42" i="15"/>
  <c r="I42" i="15" s="1"/>
  <c r="J42" i="15" s="1"/>
  <c r="L41" i="15"/>
  <c r="Q41" i="15" s="1"/>
  <c r="R41" i="15" s="1"/>
  <c r="D41" i="15"/>
  <c r="I41" i="15" s="1"/>
  <c r="J41" i="15" s="1"/>
  <c r="L40" i="15"/>
  <c r="Q40" i="15" s="1"/>
  <c r="R40" i="15" s="1"/>
  <c r="D40" i="15"/>
  <c r="I40" i="15" s="1"/>
  <c r="J40" i="15" s="1"/>
  <c r="L39" i="15"/>
  <c r="Q39" i="15" s="1"/>
  <c r="R39" i="15" s="1"/>
  <c r="D39" i="15"/>
  <c r="I39" i="15" s="1"/>
  <c r="J39" i="15" s="1"/>
  <c r="L38" i="15"/>
  <c r="Q38" i="15" s="1"/>
  <c r="R38" i="15" s="1"/>
  <c r="D38" i="15"/>
  <c r="I38" i="15" s="1"/>
  <c r="J38" i="15" s="1"/>
  <c r="L37" i="15"/>
  <c r="Q37" i="15" s="1"/>
  <c r="R37" i="15" s="1"/>
  <c r="D37" i="15"/>
  <c r="I37" i="15" s="1"/>
  <c r="J37" i="15" s="1"/>
  <c r="L36" i="15"/>
  <c r="Q36" i="15" s="1"/>
  <c r="R36" i="15" s="1"/>
  <c r="D36" i="15"/>
  <c r="I36" i="15" s="1"/>
  <c r="J36" i="15" s="1"/>
  <c r="L35" i="15"/>
  <c r="Q35" i="15" s="1"/>
  <c r="R35" i="15" s="1"/>
  <c r="D35" i="15"/>
  <c r="I35" i="15" s="1"/>
  <c r="J35" i="15" s="1"/>
  <c r="L34" i="15"/>
  <c r="Q34" i="15" s="1"/>
  <c r="R34" i="15" s="1"/>
  <c r="D34" i="15"/>
  <c r="I34" i="15" s="1"/>
  <c r="J34" i="15" s="1"/>
  <c r="L33" i="15"/>
  <c r="Q33" i="15" s="1"/>
  <c r="R33" i="15" s="1"/>
  <c r="D33" i="15"/>
  <c r="I33" i="15" s="1"/>
  <c r="J33" i="15" s="1"/>
  <c r="L32" i="15"/>
  <c r="Q32" i="15" s="1"/>
  <c r="R32" i="15" s="1"/>
  <c r="D32" i="15"/>
  <c r="I32" i="15" s="1"/>
  <c r="J32" i="15" s="1"/>
  <c r="L31" i="15"/>
  <c r="Q31" i="15" s="1"/>
  <c r="R31" i="15" s="1"/>
  <c r="D31" i="15"/>
  <c r="I31" i="15" s="1"/>
  <c r="J31" i="15" s="1"/>
  <c r="L30" i="15"/>
  <c r="Q30" i="15" s="1"/>
  <c r="R30" i="15" s="1"/>
  <c r="D30" i="15"/>
  <c r="I30" i="15" s="1"/>
  <c r="J30" i="15" s="1"/>
  <c r="L29" i="15"/>
  <c r="Q29" i="15" s="1"/>
  <c r="R29" i="15" s="1"/>
  <c r="D29" i="15"/>
  <c r="I29" i="15" s="1"/>
  <c r="J29" i="15" s="1"/>
  <c r="L28" i="15"/>
  <c r="Q28" i="15" s="1"/>
  <c r="R28" i="15" s="1"/>
  <c r="D28" i="15"/>
  <c r="I28" i="15" s="1"/>
  <c r="J28" i="15" s="1"/>
  <c r="L27" i="15"/>
  <c r="Q27" i="15" s="1"/>
  <c r="R27" i="15" s="1"/>
  <c r="D27" i="15"/>
  <c r="I27" i="15" s="1"/>
  <c r="J27" i="15" s="1"/>
  <c r="L26" i="15"/>
  <c r="Q26" i="15" s="1"/>
  <c r="R26" i="15" s="1"/>
  <c r="D26" i="15"/>
  <c r="I26" i="15" s="1"/>
  <c r="J26" i="15" s="1"/>
  <c r="L25" i="15"/>
  <c r="Q25" i="15" s="1"/>
  <c r="R25" i="15" s="1"/>
  <c r="D25" i="15"/>
  <c r="I25" i="15" s="1"/>
  <c r="J25" i="15" s="1"/>
  <c r="L24" i="15"/>
  <c r="Q24" i="15" s="1"/>
  <c r="R24" i="15" s="1"/>
  <c r="D24" i="15"/>
  <c r="I24" i="15" s="1"/>
  <c r="J24" i="15" s="1"/>
  <c r="L23" i="15"/>
  <c r="Q23" i="15" s="1"/>
  <c r="R23" i="15" s="1"/>
  <c r="D23" i="15"/>
  <c r="I23" i="15" s="1"/>
  <c r="J23" i="15" s="1"/>
  <c r="L22" i="15"/>
  <c r="Q22" i="15" s="1"/>
  <c r="R22" i="15" s="1"/>
  <c r="D22" i="15"/>
  <c r="I22" i="15" s="1"/>
  <c r="J22" i="15" s="1"/>
  <c r="L21" i="15"/>
  <c r="U430" i="15" l="1"/>
  <c r="U401" i="15"/>
  <c r="U403" i="15"/>
  <c r="U405" i="15"/>
  <c r="U407" i="15"/>
  <c r="U409" i="15"/>
  <c r="U411" i="15"/>
  <c r="U413" i="15"/>
  <c r="U415" i="15"/>
  <c r="U417" i="15"/>
  <c r="U419" i="15"/>
  <c r="U421" i="15"/>
  <c r="U423" i="15"/>
  <c r="U425" i="15"/>
  <c r="U427" i="15"/>
  <c r="U429" i="15"/>
  <c r="U431" i="15"/>
  <c r="E73" i="10"/>
  <c r="E23" i="10"/>
  <c r="E63" i="10"/>
  <c r="E69" i="10"/>
  <c r="E55" i="10"/>
  <c r="E68" i="10"/>
  <c r="E78" i="10"/>
  <c r="E18" i="10"/>
  <c r="E101" i="10"/>
  <c r="E112" i="10"/>
  <c r="E43" i="10"/>
  <c r="E28" i="10"/>
  <c r="E62" i="10"/>
  <c r="E32" i="10"/>
  <c r="E29" i="10"/>
  <c r="E17" i="10"/>
  <c r="E25" i="10"/>
  <c r="E71" i="10"/>
  <c r="E61" i="10"/>
  <c r="E81" i="10"/>
  <c r="E102" i="10"/>
  <c r="E40" i="10"/>
  <c r="E49" i="10"/>
  <c r="E59" i="10"/>
  <c r="E90" i="10"/>
  <c r="E51" i="10"/>
  <c r="E16" i="10"/>
  <c r="E95" i="10"/>
  <c r="E79" i="10"/>
  <c r="E83" i="10"/>
  <c r="E91" i="10"/>
  <c r="E75" i="10"/>
  <c r="E99" i="10"/>
  <c r="E103" i="10"/>
  <c r="E87" i="10"/>
  <c r="E111" i="10"/>
  <c r="U399" i="15"/>
  <c r="K398" i="15"/>
  <c r="U178" i="15"/>
  <c r="U174" i="15"/>
  <c r="U182" i="15"/>
  <c r="U191" i="15"/>
  <c r="U187" i="15"/>
  <c r="U186" i="15"/>
  <c r="U190" i="15"/>
  <c r="U194" i="15"/>
  <c r="U179" i="15"/>
  <c r="U166" i="15"/>
  <c r="U173" i="15"/>
  <c r="U177" i="15"/>
  <c r="U181" i="15"/>
  <c r="U185" i="15"/>
  <c r="U189" i="15"/>
  <c r="U193" i="15"/>
  <c r="U175" i="15"/>
  <c r="U183" i="15"/>
  <c r="U172" i="15"/>
  <c r="U176" i="15"/>
  <c r="U180" i="15"/>
  <c r="U184" i="15"/>
  <c r="U188" i="15"/>
  <c r="U192" i="15"/>
  <c r="U167" i="15"/>
  <c r="U168" i="15"/>
  <c r="U169" i="15"/>
  <c r="U170" i="15"/>
  <c r="U171" i="15"/>
  <c r="K7" i="15"/>
  <c r="I701" i="15"/>
  <c r="J701" i="15" s="1"/>
  <c r="I704" i="15"/>
  <c r="J704" i="15" s="1"/>
  <c r="K165" i="15"/>
  <c r="I690" i="15"/>
  <c r="J690" i="15" s="1"/>
  <c r="I698" i="15"/>
  <c r="J698" i="15" s="1"/>
  <c r="I707" i="15"/>
  <c r="J707" i="15" s="1"/>
  <c r="I688" i="15"/>
  <c r="J688" i="15" s="1"/>
  <c r="I709" i="15"/>
  <c r="J709" i="15" s="1"/>
  <c r="I710" i="15"/>
  <c r="J710" i="15" s="1"/>
  <c r="I684" i="15"/>
  <c r="J684" i="15" s="1"/>
  <c r="K63" i="15"/>
  <c r="K480" i="15"/>
  <c r="K569" i="15"/>
  <c r="I687" i="15"/>
  <c r="J687" i="15" s="1"/>
  <c r="I705" i="15"/>
  <c r="J705" i="15" s="1"/>
  <c r="K21" i="15"/>
  <c r="K44" i="15"/>
  <c r="K122" i="15"/>
  <c r="K87" i="15"/>
  <c r="K139" i="15"/>
  <c r="K156" i="15"/>
  <c r="K195" i="15"/>
  <c r="K291" i="15"/>
  <c r="K327" i="15"/>
  <c r="K237" i="15"/>
  <c r="K364" i="15"/>
  <c r="K500" i="15"/>
  <c r="K541" i="15"/>
  <c r="K216" i="15"/>
  <c r="K432" i="15"/>
  <c r="K526" i="15"/>
  <c r="K586" i="15"/>
  <c r="K601" i="15"/>
  <c r="K625" i="15"/>
  <c r="K642" i="15"/>
  <c r="I691" i="15"/>
  <c r="J691" i="15" s="1"/>
  <c r="I711" i="15"/>
  <c r="J711" i="15" s="1"/>
  <c r="K722" i="15"/>
  <c r="K764" i="15"/>
  <c r="K751" i="15"/>
  <c r="K807" i="15"/>
  <c r="K884" i="15"/>
  <c r="K868" i="15"/>
  <c r="K923" i="15"/>
  <c r="K950" i="15"/>
  <c r="P38" i="13"/>
  <c r="AM38" i="13" s="1"/>
  <c r="AM49" i="13"/>
  <c r="AM51" i="13"/>
  <c r="AM52" i="13"/>
  <c r="AM106" i="13"/>
  <c r="AM107" i="13"/>
  <c r="AM108" i="13"/>
  <c r="AM109" i="13"/>
  <c r="AM110" i="13"/>
  <c r="AM111" i="13"/>
  <c r="AM112" i="13"/>
  <c r="AM113" i="13"/>
  <c r="P53" i="13"/>
  <c r="AM53" i="13" s="1"/>
  <c r="AL8" i="13"/>
  <c r="AL9" i="13"/>
  <c r="AL10" i="13"/>
  <c r="AL11" i="13"/>
  <c r="AL12" i="13"/>
  <c r="AL13" i="13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L26" i="13"/>
  <c r="AL27" i="13"/>
  <c r="AL28" i="13"/>
  <c r="AL29" i="13"/>
  <c r="AL30" i="13"/>
  <c r="AL31" i="13"/>
  <c r="AL32" i="13"/>
  <c r="AL33" i="13"/>
  <c r="AL34" i="13"/>
  <c r="AL35" i="13"/>
  <c r="AL36" i="13"/>
  <c r="AL37" i="13"/>
  <c r="AL38" i="13"/>
  <c r="AL39" i="13"/>
  <c r="AL40" i="13"/>
  <c r="AL41" i="13"/>
  <c r="AL42" i="13"/>
  <c r="AL43" i="13"/>
  <c r="AL44" i="13"/>
  <c r="AL45" i="13"/>
  <c r="AL46" i="13"/>
  <c r="AL47" i="13"/>
  <c r="AL48" i="13"/>
  <c r="AL50" i="13"/>
  <c r="AL53" i="13"/>
  <c r="AL54" i="13"/>
  <c r="AL55" i="13"/>
  <c r="AL56" i="13"/>
  <c r="AL57" i="13"/>
  <c r="AL58" i="13"/>
  <c r="AL59" i="13"/>
  <c r="AL60" i="13"/>
  <c r="AL61" i="13"/>
  <c r="AL62" i="13"/>
  <c r="AL63" i="13"/>
  <c r="AL64" i="13"/>
  <c r="AL65" i="13"/>
  <c r="AL66" i="13"/>
  <c r="AL67" i="13"/>
  <c r="AL68" i="13"/>
  <c r="AL69" i="13"/>
  <c r="AL70" i="13"/>
  <c r="AL71" i="13"/>
  <c r="AL72" i="13"/>
  <c r="AL73" i="13"/>
  <c r="AL74" i="13"/>
  <c r="AL75" i="13"/>
  <c r="AL76" i="13"/>
  <c r="AL77" i="13"/>
  <c r="AL78" i="13"/>
  <c r="AL79" i="13"/>
  <c r="AL80" i="13"/>
  <c r="AL81" i="13"/>
  <c r="AL82" i="13"/>
  <c r="AL83" i="13"/>
  <c r="AL84" i="13"/>
  <c r="AL85" i="13"/>
  <c r="AL86" i="13"/>
  <c r="AL87" i="13"/>
  <c r="AL88" i="13"/>
  <c r="AL89" i="13"/>
  <c r="AL90" i="13"/>
  <c r="AL91" i="13"/>
  <c r="AL92" i="13"/>
  <c r="AL93" i="13"/>
  <c r="AL94" i="13"/>
  <c r="AL95" i="13"/>
  <c r="AL96" i="13"/>
  <c r="AL97" i="13"/>
  <c r="AL98" i="13"/>
  <c r="AL99" i="13"/>
  <c r="AL100" i="13"/>
  <c r="AL101" i="13"/>
  <c r="AL102" i="13"/>
  <c r="AL103" i="13"/>
  <c r="AL104" i="13"/>
  <c r="AL105" i="13"/>
  <c r="AL106" i="13"/>
  <c r="AL107" i="13"/>
  <c r="AL108" i="13"/>
  <c r="AL109" i="13"/>
  <c r="AL110" i="13"/>
  <c r="AL111" i="13"/>
  <c r="AL112" i="13"/>
  <c r="AL113" i="13"/>
  <c r="AL7" i="13"/>
  <c r="AK99" i="13"/>
  <c r="AK100" i="13"/>
  <c r="AK105" i="13"/>
  <c r="AK8" i="13"/>
  <c r="AK9" i="13"/>
  <c r="AK10" i="13"/>
  <c r="AK11" i="13"/>
  <c r="AK12" i="13"/>
  <c r="AK13" i="13"/>
  <c r="AK14" i="13"/>
  <c r="AK15" i="13"/>
  <c r="AK16" i="13"/>
  <c r="AK17" i="13"/>
  <c r="AK18" i="13"/>
  <c r="AK19" i="13"/>
  <c r="AK20" i="13"/>
  <c r="AK21" i="13"/>
  <c r="AK22" i="13"/>
  <c r="AK23" i="13"/>
  <c r="AK24" i="13"/>
  <c r="AK25" i="13"/>
  <c r="AK26" i="13"/>
  <c r="AK27" i="13"/>
  <c r="AK28" i="13"/>
  <c r="AK29" i="13"/>
  <c r="AK30" i="13"/>
  <c r="AK31" i="13"/>
  <c r="AK32" i="13"/>
  <c r="AK33" i="13"/>
  <c r="AK34" i="13"/>
  <c r="AK35" i="13"/>
  <c r="AK36" i="13"/>
  <c r="AK37" i="13"/>
  <c r="AK38" i="13"/>
  <c r="AK39" i="13"/>
  <c r="AK40" i="13"/>
  <c r="AK41" i="13"/>
  <c r="AK42" i="13"/>
  <c r="AK43" i="13"/>
  <c r="AK44" i="13"/>
  <c r="AK45" i="13"/>
  <c r="AK46" i="13"/>
  <c r="AK47" i="13"/>
  <c r="AK48" i="13"/>
  <c r="AK49" i="13"/>
  <c r="AK50" i="13"/>
  <c r="AK51" i="13"/>
  <c r="AK52" i="13"/>
  <c r="AK53" i="13"/>
  <c r="AK54" i="13"/>
  <c r="AK55" i="13"/>
  <c r="AK56" i="13"/>
  <c r="AK57" i="13"/>
  <c r="AK58" i="13"/>
  <c r="AK59" i="13"/>
  <c r="AK60" i="13"/>
  <c r="AK61" i="13"/>
  <c r="AK62" i="13"/>
  <c r="AK63" i="13"/>
  <c r="AK64" i="13"/>
  <c r="AK65" i="13"/>
  <c r="AK66" i="13"/>
  <c r="AK67" i="13"/>
  <c r="AK68" i="13"/>
  <c r="AK69" i="13"/>
  <c r="AK70" i="13"/>
  <c r="AK71" i="13"/>
  <c r="AK72" i="13"/>
  <c r="AK73" i="13"/>
  <c r="AK74" i="13"/>
  <c r="AK75" i="13"/>
  <c r="AK76" i="13"/>
  <c r="AK77" i="13"/>
  <c r="AK78" i="13"/>
  <c r="AK79" i="13"/>
  <c r="AK80" i="13"/>
  <c r="AK81" i="13"/>
  <c r="AK82" i="13"/>
  <c r="AK83" i="13"/>
  <c r="AK84" i="13"/>
  <c r="AK85" i="13"/>
  <c r="AK86" i="13"/>
  <c r="AK87" i="13"/>
  <c r="AK88" i="13"/>
  <c r="AK89" i="13"/>
  <c r="AK90" i="13"/>
  <c r="AK91" i="13"/>
  <c r="AK92" i="13"/>
  <c r="AK93" i="13"/>
  <c r="AK94" i="13"/>
  <c r="AK95" i="13"/>
  <c r="AK96" i="13"/>
  <c r="AK97" i="13"/>
  <c r="AK98" i="13"/>
  <c r="AK101" i="13"/>
  <c r="AK102" i="13"/>
  <c r="AK103" i="13"/>
  <c r="AK104" i="13"/>
  <c r="AK7" i="13"/>
  <c r="AK106" i="13"/>
  <c r="AK107" i="13"/>
  <c r="AK108" i="13"/>
  <c r="AK109" i="13"/>
  <c r="AK110" i="13"/>
  <c r="AK111" i="13"/>
  <c r="AK112" i="13"/>
  <c r="AK113" i="13"/>
  <c r="D64" i="10" l="1"/>
  <c r="D109" i="10"/>
  <c r="D104" i="10"/>
  <c r="D110" i="10"/>
  <c r="D62" i="10"/>
  <c r="D39" i="10"/>
  <c r="D50" i="10"/>
  <c r="D63" i="10"/>
  <c r="D108" i="10"/>
  <c r="K683" i="15"/>
  <c r="G14" i="10" l="1"/>
  <c r="G18" i="10"/>
  <c r="G106" i="10"/>
  <c r="G24" i="10"/>
  <c r="G42" i="10"/>
  <c r="G61" i="10"/>
  <c r="G91" i="10"/>
  <c r="G111" i="10"/>
  <c r="G94" i="10"/>
  <c r="G25" i="10"/>
  <c r="G43" i="10"/>
  <c r="G60" i="10"/>
  <c r="G69" i="10"/>
  <c r="G83" i="10"/>
  <c r="G96" i="10"/>
  <c r="G71" i="10"/>
  <c r="G41" i="10"/>
  <c r="G54" i="10"/>
  <c r="G68" i="10"/>
  <c r="G86" i="10"/>
  <c r="G19" i="10"/>
  <c r="G37" i="10"/>
  <c r="G50" i="10"/>
  <c r="G92" i="10"/>
  <c r="G27" i="10"/>
  <c r="G73" i="10"/>
  <c r="G93" i="10"/>
  <c r="G112" i="10"/>
  <c r="G102" i="10"/>
  <c r="G26" i="10"/>
  <c r="G49" i="10"/>
  <c r="G62" i="10"/>
  <c r="G77" i="10"/>
  <c r="G84" i="10"/>
  <c r="G99" i="10"/>
  <c r="G31" i="10"/>
  <c r="G44" i="10"/>
  <c r="G57" i="10"/>
  <c r="G74" i="10"/>
  <c r="G88" i="10"/>
  <c r="G108" i="10"/>
  <c r="G20" i="10"/>
  <c r="G40" i="10"/>
  <c r="G64" i="10"/>
  <c r="G107" i="10"/>
  <c r="G110" i="10"/>
  <c r="G55" i="10"/>
  <c r="G47" i="10"/>
  <c r="G28" i="10"/>
  <c r="G79" i="10"/>
  <c r="G101" i="10"/>
  <c r="G109" i="10"/>
  <c r="G103" i="10"/>
  <c r="G29" i="10"/>
  <c r="G65" i="10"/>
  <c r="G78" i="10"/>
  <c r="G85" i="10"/>
  <c r="G100" i="10"/>
  <c r="G22" i="10"/>
  <c r="G34" i="10"/>
  <c r="G48" i="10"/>
  <c r="G63" i="10"/>
  <c r="G75" i="10"/>
  <c r="G89" i="10"/>
  <c r="G72" i="10"/>
  <c r="G32" i="10"/>
  <c r="G70" i="10"/>
  <c r="G104" i="10"/>
  <c r="G38" i="10"/>
  <c r="G80" i="10"/>
  <c r="G90" i="10"/>
  <c r="G17" i="10"/>
  <c r="G39" i="10"/>
  <c r="G56" i="10"/>
  <c r="G66" i="10"/>
  <c r="G82" i="10"/>
  <c r="G95" i="10"/>
  <c r="G105" i="10"/>
  <c r="G23" i="10"/>
  <c r="G35" i="10"/>
  <c r="G53" i="10"/>
  <c r="G67" i="10"/>
  <c r="G81" i="10"/>
  <c r="G97" i="10"/>
  <c r="G16" i="10"/>
  <c r="G33" i="10"/>
  <c r="G46" i="10"/>
  <c r="G76" i="10"/>
  <c r="G15" i="10"/>
  <c r="G87" i="10"/>
  <c r="G30" i="10"/>
  <c r="G52" i="10"/>
  <c r="G51" i="10"/>
  <c r="G36" i="10"/>
  <c r="G21" i="10"/>
  <c r="G98" i="10"/>
  <c r="G45" i="10"/>
  <c r="K6" i="15"/>
  <c r="C82" i="10" l="1"/>
  <c r="C52" i="10"/>
  <c r="C107" i="10"/>
  <c r="C98" i="10"/>
  <c r="C78" i="10"/>
  <c r="C72" i="10"/>
  <c r="C112" i="10"/>
  <c r="C57" i="10"/>
  <c r="C25" i="10"/>
  <c r="C79" i="10"/>
  <c r="C80" i="10"/>
  <c r="C50" i="10"/>
  <c r="C76" i="10"/>
  <c r="C93" i="10"/>
  <c r="C83" i="10"/>
  <c r="C29" i="10"/>
  <c r="C68" i="10"/>
  <c r="C110" i="10"/>
  <c r="C67" i="10"/>
  <c r="C88" i="10"/>
  <c r="C74" i="10"/>
  <c r="C58" i="10"/>
  <c r="C40" i="10"/>
  <c r="C26" i="10"/>
  <c r="C95" i="10"/>
  <c r="C91" i="10"/>
  <c r="C46" i="10"/>
  <c r="C81" i="10"/>
  <c r="C77" i="10"/>
  <c r="C73" i="10"/>
  <c r="C71" i="10"/>
  <c r="C34" i="10"/>
  <c r="C100" i="10"/>
  <c r="C63" i="10"/>
  <c r="C39" i="10"/>
  <c r="C99" i="10"/>
  <c r="C69" i="10"/>
  <c r="C111" i="10"/>
  <c r="C61" i="10"/>
  <c r="C97" i="10"/>
  <c r="C94" i="10"/>
  <c r="C62" i="10"/>
  <c r="C32" i="10"/>
  <c r="C37" i="10"/>
  <c r="C96" i="10"/>
  <c r="C42" i="10"/>
  <c r="C75" i="10"/>
  <c r="C49" i="10"/>
  <c r="C48" i="10"/>
  <c r="C56" i="10"/>
  <c r="C55" i="10"/>
  <c r="C33" i="10"/>
  <c r="C105" i="10"/>
  <c r="C92" i="10"/>
  <c r="C60" i="10"/>
  <c r="C28" i="10"/>
  <c r="C101" i="10"/>
  <c r="C51" i="10"/>
  <c r="C35" i="10"/>
  <c r="C43" i="10"/>
  <c r="C109" i="10"/>
  <c r="C47" i="10"/>
  <c r="C102" i="10"/>
  <c r="C86" i="10"/>
  <c r="C70" i="10"/>
  <c r="C54" i="10"/>
  <c r="C36" i="10"/>
  <c r="C108" i="10"/>
  <c r="C38" i="10"/>
  <c r="C104" i="10"/>
  <c r="C103" i="10"/>
  <c r="C66" i="10"/>
  <c r="C44" i="10"/>
  <c r="C84" i="10"/>
  <c r="C64" i="10"/>
  <c r="C89" i="10"/>
  <c r="C59" i="10"/>
  <c r="C90" i="10"/>
  <c r="C31" i="10"/>
  <c r="C85" i="10"/>
  <c r="C87" i="10"/>
  <c r="C106" i="10"/>
  <c r="C20" i="10" l="1"/>
  <c r="C41" i="10"/>
  <c r="C53" i="10"/>
  <c r="C30" i="10"/>
  <c r="C65" i="10"/>
  <c r="C45" i="10"/>
  <c r="C22" i="10"/>
  <c r="C16" i="10"/>
  <c r="C23" i="10"/>
  <c r="C24" i="10"/>
  <c r="C27" i="10"/>
  <c r="P8" i="13"/>
  <c r="AM8" i="13" s="1"/>
  <c r="Q45" i="13"/>
  <c r="P7" i="13"/>
  <c r="AM7" i="13" s="1"/>
  <c r="Q79" i="13"/>
  <c r="P79" i="13"/>
  <c r="AM79" i="13" s="1"/>
  <c r="P31" i="13"/>
  <c r="AM31" i="13" s="1"/>
  <c r="Q64" i="13"/>
  <c r="Q67" i="13"/>
  <c r="Q26" i="13"/>
  <c r="Q91" i="13"/>
  <c r="P80" i="13"/>
  <c r="AM80" i="13" s="1"/>
  <c r="Q44" i="13"/>
  <c r="Q95" i="13"/>
  <c r="Q43" i="13"/>
  <c r="Q42" i="13"/>
  <c r="P64" i="13"/>
  <c r="P69" i="13"/>
  <c r="Q69" i="13"/>
  <c r="Q27" i="13"/>
  <c r="P27" i="13"/>
  <c r="P84" i="13"/>
  <c r="AM84" i="13" s="1"/>
  <c r="P60" i="13"/>
  <c r="AM60" i="13" s="1"/>
  <c r="P86" i="13"/>
  <c r="AM86" i="13" s="1"/>
  <c r="Q77" i="13"/>
  <c r="Q72" i="13"/>
  <c r="Q30" i="13"/>
  <c r="P30" i="13"/>
  <c r="AM30" i="13" s="1"/>
  <c r="Q103" i="13"/>
  <c r="P103" i="13"/>
  <c r="Q61" i="13"/>
  <c r="Q83" i="13"/>
  <c r="Q70" i="13"/>
  <c r="Q31" i="13"/>
  <c r="R31" i="13" s="1"/>
  <c r="Q36" i="13"/>
  <c r="P76" i="13"/>
  <c r="AM76" i="13" s="1"/>
  <c r="Q39" i="13"/>
  <c r="Q98" i="13"/>
  <c r="Q29" i="13"/>
  <c r="Q24" i="13"/>
  <c r="P37" i="13"/>
  <c r="AM37" i="13" s="1"/>
  <c r="Q37" i="13"/>
  <c r="Q32" i="13"/>
  <c r="P32" i="13"/>
  <c r="AM32" i="13" s="1"/>
  <c r="Q65" i="13"/>
  <c r="P100" i="13"/>
  <c r="AM100" i="13" s="1"/>
  <c r="Q100" i="13"/>
  <c r="Q102" i="13"/>
  <c r="P102" i="13"/>
  <c r="P99" i="13"/>
  <c r="AM99" i="13" s="1"/>
  <c r="Q34" i="13"/>
  <c r="Q33" i="13"/>
  <c r="P33" i="13"/>
  <c r="AM33" i="13" s="1"/>
  <c r="Q63" i="13"/>
  <c r="Q60" i="13"/>
  <c r="Q73" i="13"/>
  <c r="Q97" i="13"/>
  <c r="Q96" i="13"/>
  <c r="Q71" i="13"/>
  <c r="Q38" i="13"/>
  <c r="Q40" i="13"/>
  <c r="P40" i="13"/>
  <c r="P26" i="13"/>
  <c r="Q25" i="13"/>
  <c r="P25" i="13"/>
  <c r="AM25" i="13" s="1"/>
  <c r="P20" i="13"/>
  <c r="AM20" i="13" s="1"/>
  <c r="P68" i="13"/>
  <c r="P41" i="13"/>
  <c r="AM41" i="13" s="1"/>
  <c r="Q68" i="13"/>
  <c r="Q58" i="13"/>
  <c r="Q28" i="13"/>
  <c r="Q93" i="13"/>
  <c r="Q62" i="13"/>
  <c r="Q99" i="13"/>
  <c r="Q20" i="13"/>
  <c r="Q66" i="13"/>
  <c r="Q17" i="13"/>
  <c r="P17" i="13"/>
  <c r="AM17" i="13" s="1"/>
  <c r="P81" i="13"/>
  <c r="Q81" i="13"/>
  <c r="Q104" i="13"/>
  <c r="Q105" i="13"/>
  <c r="Q101" i="13"/>
  <c r="Q23" i="13"/>
  <c r="Q47" i="13"/>
  <c r="P47" i="13"/>
  <c r="Q76" i="13"/>
  <c r="Q82" i="13"/>
  <c r="Q75" i="13"/>
  <c r="Q85" i="13"/>
  <c r="Q50" i="13"/>
  <c r="P50" i="13"/>
  <c r="Q57" i="13"/>
  <c r="Q55" i="13"/>
  <c r="Q48" i="13"/>
  <c r="P48" i="13"/>
  <c r="AM48" i="13" s="1"/>
  <c r="P89" i="13"/>
  <c r="Q89" i="13"/>
  <c r="Q54" i="13"/>
  <c r="P54" i="13"/>
  <c r="AM54" i="13" s="1"/>
  <c r="R53" i="13"/>
  <c r="Q53" i="13"/>
  <c r="Q46" i="13"/>
  <c r="P46" i="13"/>
  <c r="AM46" i="13" s="1"/>
  <c r="P45" i="13"/>
  <c r="P44" i="13"/>
  <c r="Q22" i="13"/>
  <c r="Q18" i="13"/>
  <c r="P18" i="13"/>
  <c r="Q16" i="13"/>
  <c r="Q15" i="13"/>
  <c r="Q12" i="13"/>
  <c r="Q9" i="13"/>
  <c r="Q78" i="13"/>
  <c r="P94" i="13"/>
  <c r="P88" i="13"/>
  <c r="AM88" i="13" s="1"/>
  <c r="Q94" i="13"/>
  <c r="Q92" i="13"/>
  <c r="Q90" i="13"/>
  <c r="Q56" i="13"/>
  <c r="P56" i="13"/>
  <c r="AM56" i="13" s="1"/>
  <c r="P43" i="13"/>
  <c r="P42" i="13"/>
  <c r="Q74" i="13"/>
  <c r="Q21" i="13"/>
  <c r="P19" i="13"/>
  <c r="Q19" i="13"/>
  <c r="P101" i="13"/>
  <c r="P104" i="13"/>
  <c r="P105" i="13"/>
  <c r="AM105" i="13" s="1"/>
  <c r="P96" i="13"/>
  <c r="P97" i="13"/>
  <c r="P98" i="13"/>
  <c r="AM98" i="13" s="1"/>
  <c r="P95" i="13"/>
  <c r="P93" i="13"/>
  <c r="P92" i="13"/>
  <c r="P90" i="13"/>
  <c r="AM90" i="13" s="1"/>
  <c r="P91" i="13"/>
  <c r="P87" i="13"/>
  <c r="AM87" i="13" s="1"/>
  <c r="P85" i="13"/>
  <c r="AM85" i="13" s="1"/>
  <c r="P82" i="13"/>
  <c r="P83" i="13"/>
  <c r="P75" i="13"/>
  <c r="P77" i="13"/>
  <c r="P78" i="13"/>
  <c r="P70" i="13"/>
  <c r="P71" i="13"/>
  <c r="AM71" i="13" s="1"/>
  <c r="P72" i="13"/>
  <c r="P73" i="13"/>
  <c r="P74" i="13"/>
  <c r="P61" i="13"/>
  <c r="AM61" i="13" s="1"/>
  <c r="P62" i="13"/>
  <c r="P63" i="13"/>
  <c r="P65" i="13"/>
  <c r="P66" i="13"/>
  <c r="AM66" i="13" s="1"/>
  <c r="P67" i="13"/>
  <c r="P59" i="13"/>
  <c r="AM59" i="13" s="1"/>
  <c r="P55" i="13"/>
  <c r="P57" i="13"/>
  <c r="P58" i="13"/>
  <c r="P39" i="13"/>
  <c r="P35" i="13"/>
  <c r="P36" i="13"/>
  <c r="P29" i="13"/>
  <c r="P34" i="13"/>
  <c r="P28" i="13"/>
  <c r="P15" i="13"/>
  <c r="P16" i="13"/>
  <c r="P21" i="13"/>
  <c r="P22" i="13"/>
  <c r="P23" i="13"/>
  <c r="P24" i="13"/>
  <c r="P9" i="13"/>
  <c r="P10" i="13"/>
  <c r="AM10" i="13" s="1"/>
  <c r="P11" i="13"/>
  <c r="AM11" i="13" s="1"/>
  <c r="P12" i="13"/>
  <c r="P13" i="13"/>
  <c r="AM13" i="13" s="1"/>
  <c r="P14" i="13"/>
  <c r="Q88" i="13"/>
  <c r="Q87" i="13"/>
  <c r="Q86" i="13"/>
  <c r="Q84" i="13"/>
  <c r="Q80" i="13"/>
  <c r="Q59" i="13"/>
  <c r="Q41" i="13"/>
  <c r="Q35" i="13"/>
  <c r="Q14" i="13"/>
  <c r="Q13" i="13"/>
  <c r="Q11" i="13"/>
  <c r="Q10" i="13"/>
  <c r="Q8" i="13"/>
  <c r="Q7" i="13"/>
  <c r="R7" i="13" s="1"/>
  <c r="R32" i="13" l="1"/>
  <c r="F21" i="10"/>
  <c r="F34" i="10"/>
  <c r="F17" i="10"/>
  <c r="F29" i="10"/>
  <c r="F35" i="10"/>
  <c r="F50" i="10"/>
  <c r="F55" i="10"/>
  <c r="F39" i="10"/>
  <c r="F44" i="10"/>
  <c r="F57" i="10"/>
  <c r="F18" i="10"/>
  <c r="F67" i="10"/>
  <c r="F82" i="10"/>
  <c r="F96" i="10"/>
  <c r="F104" i="10"/>
  <c r="F69" i="10"/>
  <c r="F95" i="10"/>
  <c r="F71" i="10"/>
  <c r="F85" i="10"/>
  <c r="F93" i="10"/>
  <c r="F68" i="10"/>
  <c r="F89" i="10"/>
  <c r="F112" i="10"/>
  <c r="F103" i="10"/>
  <c r="F37" i="10"/>
  <c r="C17" i="10"/>
  <c r="C18" i="10"/>
  <c r="F110" i="10"/>
  <c r="F22" i="10"/>
  <c r="F41" i="10"/>
  <c r="F23" i="10"/>
  <c r="F30" i="10"/>
  <c r="F38" i="10"/>
  <c r="F51" i="10"/>
  <c r="F58" i="10"/>
  <c r="F40" i="10"/>
  <c r="F45" i="10"/>
  <c r="F61" i="10"/>
  <c r="F26" i="10"/>
  <c r="F75" i="10"/>
  <c r="F83" i="10"/>
  <c r="F97" i="10"/>
  <c r="F107" i="10"/>
  <c r="F74" i="10"/>
  <c r="F99" i="10"/>
  <c r="F72" i="10"/>
  <c r="F86" i="10"/>
  <c r="F101" i="10"/>
  <c r="F70" i="10"/>
  <c r="F90" i="10"/>
  <c r="F14" i="10"/>
  <c r="F108" i="10"/>
  <c r="C19" i="10"/>
  <c r="F60" i="10"/>
  <c r="F24" i="10"/>
  <c r="F49" i="10"/>
  <c r="F27" i="10"/>
  <c r="F32" i="10"/>
  <c r="F46" i="10"/>
  <c r="F52" i="10"/>
  <c r="F19" i="10"/>
  <c r="F42" i="10"/>
  <c r="F48" i="10"/>
  <c r="F62" i="10"/>
  <c r="F25" i="10"/>
  <c r="F76" i="10"/>
  <c r="F88" i="10"/>
  <c r="F100" i="10"/>
  <c r="F111" i="10"/>
  <c r="F77" i="10"/>
  <c r="F105" i="10"/>
  <c r="F79" i="10"/>
  <c r="F87" i="10"/>
  <c r="F73" i="10"/>
  <c r="F91" i="10"/>
  <c r="F54" i="10"/>
  <c r="F20" i="10"/>
  <c r="F15" i="10"/>
  <c r="C21" i="10"/>
  <c r="F59" i="10"/>
  <c r="F31" i="10"/>
  <c r="F16" i="10"/>
  <c r="F28" i="10"/>
  <c r="F33" i="10"/>
  <c r="F47" i="10"/>
  <c r="F53" i="10"/>
  <c r="F36" i="10"/>
  <c r="F43" i="10"/>
  <c r="F56" i="10"/>
  <c r="F63" i="10"/>
  <c r="F66" i="10"/>
  <c r="F78" i="10"/>
  <c r="F94" i="10"/>
  <c r="F102" i="10"/>
  <c r="F65" i="10"/>
  <c r="F80" i="10"/>
  <c r="F109" i="10"/>
  <c r="F81" i="10"/>
  <c r="F92" i="10"/>
  <c r="F64" i="10"/>
  <c r="F84" i="10"/>
  <c r="F98" i="10"/>
  <c r="F106" i="10"/>
  <c r="R28" i="13"/>
  <c r="AM28" i="13"/>
  <c r="R23" i="13"/>
  <c r="AM23" i="13"/>
  <c r="R15" i="13"/>
  <c r="AM15" i="13"/>
  <c r="R39" i="13"/>
  <c r="AM39" i="13"/>
  <c r="R63" i="13"/>
  <c r="AM63" i="13"/>
  <c r="R73" i="13"/>
  <c r="AM73" i="13"/>
  <c r="R78" i="13"/>
  <c r="AM78" i="13"/>
  <c r="R82" i="13"/>
  <c r="AM82" i="13"/>
  <c r="R104" i="13"/>
  <c r="AM104" i="13"/>
  <c r="R103" i="13"/>
  <c r="AM103" i="13"/>
  <c r="R27" i="13"/>
  <c r="AM27" i="13"/>
  <c r="R14" i="13"/>
  <c r="AM14" i="13"/>
  <c r="R29" i="13"/>
  <c r="AM29" i="13"/>
  <c r="R58" i="13"/>
  <c r="AM58" i="13"/>
  <c r="R67" i="13"/>
  <c r="AM67" i="13"/>
  <c r="R62" i="13"/>
  <c r="AM62" i="13"/>
  <c r="R72" i="13"/>
  <c r="AM72" i="13"/>
  <c r="R77" i="13"/>
  <c r="AM77" i="13"/>
  <c r="R92" i="13"/>
  <c r="AM92" i="13"/>
  <c r="R97" i="13"/>
  <c r="AM97" i="13"/>
  <c r="R101" i="13"/>
  <c r="AM101" i="13"/>
  <c r="R42" i="13"/>
  <c r="AM42" i="13"/>
  <c r="R18" i="13"/>
  <c r="AM18" i="13"/>
  <c r="R47" i="13"/>
  <c r="AM47" i="13"/>
  <c r="R81" i="13"/>
  <c r="AM81" i="13"/>
  <c r="R69" i="13"/>
  <c r="AM69" i="13"/>
  <c r="R9" i="13"/>
  <c r="AM9" i="13"/>
  <c r="R21" i="13"/>
  <c r="AM21" i="13"/>
  <c r="R34" i="13"/>
  <c r="AM34" i="13"/>
  <c r="R36" i="13"/>
  <c r="AM36" i="13"/>
  <c r="R57" i="13"/>
  <c r="AM57" i="13"/>
  <c r="R75" i="13"/>
  <c r="AM75" i="13"/>
  <c r="R93" i="13"/>
  <c r="AM93" i="13"/>
  <c r="R96" i="13"/>
  <c r="AM96" i="13"/>
  <c r="R19" i="13"/>
  <c r="AM19" i="13"/>
  <c r="R94" i="13"/>
  <c r="AM94" i="13"/>
  <c r="R44" i="13"/>
  <c r="AM44" i="13"/>
  <c r="R50" i="13"/>
  <c r="AM50" i="13"/>
  <c r="R26" i="13"/>
  <c r="AM26" i="13"/>
  <c r="R40" i="13"/>
  <c r="AM40" i="13"/>
  <c r="R64" i="13"/>
  <c r="AM64" i="13"/>
  <c r="R22" i="13"/>
  <c r="AM22" i="13"/>
  <c r="R12" i="13"/>
  <c r="AM12" i="13"/>
  <c r="R24" i="13"/>
  <c r="AM24" i="13"/>
  <c r="R16" i="13"/>
  <c r="AM16" i="13"/>
  <c r="R35" i="13"/>
  <c r="AM35" i="13"/>
  <c r="R55" i="13"/>
  <c r="AM55" i="13"/>
  <c r="R65" i="13"/>
  <c r="AM65" i="13"/>
  <c r="R74" i="13"/>
  <c r="AM74" i="13"/>
  <c r="R70" i="13"/>
  <c r="AM70" i="13"/>
  <c r="R83" i="13"/>
  <c r="AM83" i="13"/>
  <c r="R91" i="13"/>
  <c r="AM91" i="13"/>
  <c r="R95" i="13"/>
  <c r="AM95" i="13"/>
  <c r="R43" i="13"/>
  <c r="AM43" i="13"/>
  <c r="R45" i="13"/>
  <c r="AM45" i="13"/>
  <c r="R89" i="13"/>
  <c r="AM89" i="13"/>
  <c r="R68" i="13"/>
  <c r="AM68" i="13"/>
  <c r="R102" i="13"/>
  <c r="AM102" i="13"/>
  <c r="R87" i="13"/>
  <c r="R48" i="13"/>
  <c r="R56" i="13"/>
  <c r="R11" i="13"/>
  <c r="R76" i="13"/>
  <c r="R79" i="13"/>
  <c r="R8" i="13"/>
  <c r="R13" i="13"/>
  <c r="R10" i="13"/>
  <c r="R59" i="13"/>
  <c r="R105" i="13"/>
  <c r="R100" i="13"/>
  <c r="R60" i="13"/>
  <c r="R80" i="13"/>
  <c r="R90" i="13"/>
  <c r="R98" i="13"/>
  <c r="R88" i="13"/>
  <c r="R54" i="13"/>
  <c r="R17" i="13"/>
  <c r="R20" i="13"/>
  <c r="R37" i="13"/>
  <c r="R84" i="13"/>
  <c r="R66" i="13"/>
  <c r="R61" i="13"/>
  <c r="R71" i="13"/>
  <c r="R85" i="13"/>
  <c r="R46" i="13"/>
  <c r="R41" i="13"/>
  <c r="R25" i="13"/>
  <c r="R33" i="13"/>
  <c r="R99" i="13"/>
  <c r="R30" i="13"/>
  <c r="R86" i="13"/>
  <c r="R38" i="13"/>
  <c r="I14" i="10" l="1"/>
  <c r="C15" i="10"/>
  <c r="C14" i="10"/>
  <c r="H14" i="10"/>
  <c r="E9" i="10"/>
  <c r="D9" i="10"/>
  <c r="D10" i="10"/>
  <c r="E11" i="10"/>
  <c r="D11" i="10"/>
  <c r="E10" i="10"/>
  <c r="F10" i="10"/>
  <c r="F9" i="10"/>
  <c r="E7" i="10" l="1"/>
  <c r="G10" i="10"/>
  <c r="G9" i="10"/>
  <c r="J14" i="10"/>
  <c r="D7" i="10"/>
  <c r="C11" i="10"/>
  <c r="C10" i="10"/>
  <c r="C9" i="10"/>
  <c r="G11" i="10"/>
  <c r="F11" i="10"/>
  <c r="F7" i="10" s="1"/>
  <c r="G7" i="10" l="1"/>
  <c r="C7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tuyen</author>
  </authors>
  <commentList>
    <comment ref="J4" authorId="0" shapeId="0" xr:uid="{803BCA45-E5C0-4AB1-A51A-9109B412B2C3}">
      <text>
        <r>
          <rPr>
            <b/>
            <sz val="9"/>
            <color indexed="81"/>
            <rFont val="Tahoma"/>
            <family val="2"/>
          </rPr>
          <t>tuyen:</t>
        </r>
        <r>
          <rPr>
            <sz val="9"/>
            <color indexed="81"/>
            <rFont val="Tahoma"/>
            <family val="2"/>
          </rPr>
          <t xml:space="preserve">
có 1 trong 2 tiêu chí là đạt</t>
        </r>
      </text>
    </comment>
    <comment ref="D5" authorId="0" shapeId="0" xr:uid="{75CB59E3-FFA4-4752-8B10-EDFEAAEE9A64}">
      <text>
        <r>
          <rPr>
            <b/>
            <sz val="9"/>
            <color indexed="81"/>
            <rFont val="Tahoma"/>
            <family val="2"/>
          </rPr>
          <t>tuyen:</t>
        </r>
        <r>
          <rPr>
            <sz val="9"/>
            <color indexed="81"/>
            <rFont val="Tahoma"/>
            <family val="2"/>
          </rPr>
          <t xml:space="preserve">
tỷ lệ nghèo + tỷ lệ cận nghèo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tuyen</author>
    <author>Administrator</author>
  </authors>
  <commentList>
    <comment ref="K5" authorId="0" shapeId="0" xr:uid="{2041CF95-E490-4CDD-A283-B92027AA369B}">
      <text>
        <r>
          <rPr>
            <b/>
            <sz val="9"/>
            <color indexed="81"/>
            <rFont val="Tahoma"/>
            <family val="2"/>
          </rPr>
          <t>tuyen:</t>
        </r>
        <r>
          <rPr>
            <sz val="9"/>
            <color indexed="81"/>
            <rFont val="Tahoma"/>
            <family val="2"/>
          </rPr>
          <t xml:space="preserve">
tiêu chí này đang tổng hợp là trừ ngược lại của xã</t>
        </r>
      </text>
    </comment>
    <comment ref="AA5" authorId="0" shapeId="0" xr:uid="{99FD5159-F0FA-4E12-B3B7-110F3B978F27}">
      <text>
        <r>
          <rPr>
            <b/>
            <sz val="9"/>
            <color indexed="81"/>
            <rFont val="Tahoma"/>
            <family val="2"/>
          </rPr>
          <t>tuyen:</t>
        </r>
        <r>
          <rPr>
            <sz val="9"/>
            <color indexed="81"/>
            <rFont val="Tahoma"/>
            <family val="2"/>
          </rPr>
          <t xml:space="preserve">
Sở giáo dục đánh giá tỷ lệ đáp ứng chỗ ở HS</t>
        </r>
      </text>
    </comment>
    <comment ref="G42" authorId="1" shapeId="0" xr:uid="{8AEFCC81-B5C0-4782-B953-000C9A7F12B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sửa tiêu chí đường. Ánh gửi</t>
        </r>
      </text>
    </comment>
    <comment ref="L104" authorId="1" shapeId="0" xr:uid="{ADD10DDA-2371-4F9B-910A-638F0056ED1B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biểu của tỉnh mẫu số 5 tiêu chí 9: tỷ lệ sản xuất nông nghiệp được tưới tiêu từ 58,5% thành 88,16%  ạ (theo biểu cuối e gửi chị  hương và phát hành trên hệ thống), em cảm ơn ạ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tuyen</author>
  </authors>
  <commentList>
    <comment ref="F8" authorId="0" shapeId="0" xr:uid="{D67825D6-28AD-44CB-B3A3-F43E43911EF2}">
      <text>
        <r>
          <rPr>
            <b/>
            <sz val="9"/>
            <color indexed="81"/>
            <rFont val="Tahoma"/>
            <family val="2"/>
          </rPr>
          <t>tuyen:</t>
        </r>
        <r>
          <rPr>
            <sz val="9"/>
            <color indexed="81"/>
            <rFont val="Tahoma"/>
            <family val="2"/>
          </rPr>
          <t xml:space="preserve">
4 thôn của phường Văn Phú
4 thôn của phường Yên Bái</t>
        </r>
      </text>
    </comment>
  </commentList>
</comments>
</file>

<file path=xl/sharedStrings.xml><?xml version="1.0" encoding="utf-8"?>
<sst xmlns="http://schemas.openxmlformats.org/spreadsheetml/2006/main" count="3061" uniqueCount="1282">
  <si>
    <t>TT</t>
  </si>
  <si>
    <t>I</t>
  </si>
  <si>
    <t>Trong đó</t>
  </si>
  <si>
    <t>Số tiêu chí đáp ứng</t>
  </si>
  <si>
    <t>(2)</t>
  </si>
  <si>
    <t>(1)</t>
  </si>
  <si>
    <t>(7)</t>
  </si>
  <si>
    <t>Tỷ lệ nghèo đa chiều (%)</t>
  </si>
  <si>
    <t>Chưa có hoặc có nhà ở nội trú cho học sinh nhưng chưa đáp ứng đủ chỗ ở của học sinh (%)</t>
  </si>
  <si>
    <t>Tỷ lệ đất sản xuất nông nghiệp được tưới và tiêu nước chủ động (%)</t>
  </si>
  <si>
    <t>Tên xã, phường, đặc khu</t>
  </si>
  <si>
    <t>II</t>
  </si>
  <si>
    <t>Tiêu chí phân định thôn đặc biệt khó khăn</t>
  </si>
  <si>
    <t>Đánh giá đạt/không đạt thôn đặc biệt khó khăn</t>
  </si>
  <si>
    <t>Tỷ lệ đường thôn và đường liên thôn được cứng hoá đảm bảo ô tô đi lại thuận tiện quanh năm (%)</t>
  </si>
  <si>
    <t>Tỷ lệ hộ gia đình có hợp đồng mua bán điện (%)</t>
  </si>
  <si>
    <t>Tỷ lệ hộ nghèo (%)</t>
  </si>
  <si>
    <t>Tỷ lệ hộ cận nghèo (%)</t>
  </si>
  <si>
    <t>Tiêu chí phân định xã theo trình độ phát triển</t>
  </si>
  <si>
    <t>Thu nhập bình quân đầu người (triệu đ/năm)</t>
  </si>
  <si>
    <t>Tỷ lệ hộ gia đình được sử dụng nước sạch theo quy chuẩn (%)</t>
  </si>
  <si>
    <t>5.1. Tỷ lệ đường xã được nhựa hoá hoặc bê tông hoá đảm bảo ô tô đi lại thuận tiện quanh năm (%)</t>
  </si>
  <si>
    <t>5.2. Tỷ lệ đường xuống cấp nghiêm trọng (%)</t>
  </si>
  <si>
    <t>Y tế xã chưa đạt chuẩn theo bộ tiêu chí quốc gia giai đoạn đến năm 2030</t>
  </si>
  <si>
    <t>Số tiêu chí đáp ứng theo phân loại xã</t>
  </si>
  <si>
    <t>Phân loại</t>
  </si>
  <si>
    <t>Tỷ lệ thôn ĐBKK của xã (%)</t>
  </si>
  <si>
    <t>Xếp loại xã khu vực I, II, III</t>
  </si>
  <si>
    <t>5.1</t>
  </si>
  <si>
    <t>5.2</t>
  </si>
  <si>
    <t>Tỷ lệ số trường học các cấp đạt tiêu chuẩn cơ sở vật chất theo quy định mức độ 1 (%)</t>
  </si>
  <si>
    <t>Chưa có TT Văn hóa - Thể thao cấp xã hoặc Trung tâm Văn hóa - Thể thao cấp xã chưa đạt chuẩn</t>
  </si>
  <si>
    <t>Tỷ lệ thôn có dịch vụ truy nhập internet di động hoặc internet băng rộng cố định dưới 95%</t>
  </si>
  <si>
    <t>Tỷ lệ hộ gia đình có nhà tiêu hợp vệ sinh (%)</t>
  </si>
  <si>
    <t>DTTS</t>
  </si>
  <si>
    <t>MN</t>
  </si>
  <si>
    <t>DANH SÁCH XÃ VÙNG ĐỒNG BÀO DÂN TỘC THIỂU SỐ VÀ MIỀN NÚI, XÃ KHU VỰC I, II, III</t>
  </si>
  <si>
    <t>Xã</t>
  </si>
  <si>
    <t>Xã thuộc khu vực I, II, III</t>
  </si>
  <si>
    <t>Số thôn DTTS&amp;MN</t>
  </si>
  <si>
    <t>Tổng số thôn</t>
  </si>
  <si>
    <t>Số thôn ĐBKK</t>
  </si>
  <si>
    <t>Thôn vùng DTTS&amp;MN nằm ngoài xã khu vực I, II, III</t>
  </si>
  <si>
    <t>Xã khu vực I</t>
  </si>
  <si>
    <t>Xã khu vực II</t>
  </si>
  <si>
    <t>Xã khu vực III</t>
  </si>
  <si>
    <t>Mẫu số 7</t>
  </si>
  <si>
    <t>Mẫu số 5</t>
  </si>
  <si>
    <t xml:space="preserve">Xã Khao Mang </t>
  </si>
  <si>
    <t xml:space="preserve">Xã Mù Cang Chải </t>
  </si>
  <si>
    <t xml:space="preserve">Xã Púng Luông </t>
  </si>
  <si>
    <t xml:space="preserve">Xã Chế Tạo </t>
  </si>
  <si>
    <t xml:space="preserve">Xã Lao Chải </t>
  </si>
  <si>
    <t xml:space="preserve">Xã Nậm Có </t>
  </si>
  <si>
    <t>Xã Trạm Tấu</t>
  </si>
  <si>
    <t>Xã Hạnh Phúc</t>
  </si>
  <si>
    <t>Xã Phình Hồ</t>
  </si>
  <si>
    <t>Xã Tà Xi Láng</t>
  </si>
  <si>
    <t>Xã Liên Sơn</t>
  </si>
  <si>
    <t>Phường Nghĩa Lộ</t>
  </si>
  <si>
    <t>Phường Trung Tâm</t>
  </si>
  <si>
    <t>Phường Cầu Thia</t>
  </si>
  <si>
    <t>Xã Tú Lệ</t>
  </si>
  <si>
    <t>Xã Gia Hội</t>
  </si>
  <si>
    <t>Xã Sơn Lương</t>
  </si>
  <si>
    <t>Xã Văn Chấn</t>
  </si>
  <si>
    <t>Xã Thượng Bằng La</t>
  </si>
  <si>
    <t>Xã Chấn Thịnh</t>
  </si>
  <si>
    <t>Xã Nghĩa Tâm</t>
  </si>
  <si>
    <t>Xã Cát Thịnh</t>
  </si>
  <si>
    <t>Xã Phong Dụ Hạ</t>
  </si>
  <si>
    <t>Xã Châu Quế</t>
  </si>
  <si>
    <t>Xã Lâm Giang</t>
  </si>
  <si>
    <t>Xã Đông Cuông</t>
  </si>
  <si>
    <t>Xã Mậu A</t>
  </si>
  <si>
    <t>Xã Xuân Ái</t>
  </si>
  <si>
    <t>Xã Mỏ Vàng</t>
  </si>
  <si>
    <t>Phong Dụ Thượng</t>
  </si>
  <si>
    <t>Xã Lâm Thượng</t>
  </si>
  <si>
    <t>Xã Lục Yên</t>
  </si>
  <si>
    <t>Xã Tân Lĩnh</t>
  </si>
  <si>
    <t>Xã Khánh Hòa</t>
  </si>
  <si>
    <t>Xã Phúc Lợi</t>
  </si>
  <si>
    <t>Xã Mường Lai</t>
  </si>
  <si>
    <t>Xã Cảm Nhân</t>
  </si>
  <si>
    <t>Xã Yên Thành</t>
  </si>
  <si>
    <t>Xã Thác Bà</t>
  </si>
  <si>
    <t>Xã Yên Bình</t>
  </si>
  <si>
    <t>Xã Bảo Ái</t>
  </si>
  <si>
    <t xml:space="preserve">Phường Văn Phú </t>
  </si>
  <si>
    <t xml:space="preserve">Phường Yên Bái </t>
  </si>
  <si>
    <t xml:space="preserve">Phường Nam Cường </t>
  </si>
  <si>
    <t xml:space="preserve">Phường Âu Lâu </t>
  </si>
  <si>
    <t>Xã Trấn Yên</t>
  </si>
  <si>
    <t>Xã Hưng Khánh</t>
  </si>
  <si>
    <t>Xã Lương Thịnh</t>
  </si>
  <si>
    <t>Xã Việt Hồng</t>
  </si>
  <si>
    <t>Xã Quy Mông</t>
  </si>
  <si>
    <t>Xã Bắc Hà</t>
  </si>
  <si>
    <t>Xã Hợp Thành</t>
  </si>
  <si>
    <t>Xã Cốc San</t>
  </si>
  <si>
    <t>Phường Lào Cai</t>
  </si>
  <si>
    <t>Phường Cam Đường</t>
  </si>
  <si>
    <t>Xã Gia Phú</t>
  </si>
  <si>
    <t>Xã Tằng Loỏng</t>
  </si>
  <si>
    <t>Xã Xuân Quang</t>
  </si>
  <si>
    <t>Xã Phong Hải</t>
  </si>
  <si>
    <t>Xã Bảo Thắng</t>
  </si>
  <si>
    <t>Xã Bảo Hà</t>
  </si>
  <si>
    <t>Xã Phúc Khánh</t>
  </si>
  <si>
    <t>Xã Xuân Hòa</t>
  </si>
  <si>
    <t>Xã Thượng Hà</t>
  </si>
  <si>
    <t>Xã Nghĩa Đô</t>
  </si>
  <si>
    <t>Xã Bảo Yên</t>
  </si>
  <si>
    <t>Xã Nậm Xé</t>
  </si>
  <si>
    <t>Xã Nậm Chày</t>
  </si>
  <si>
    <t>Xã Minh Lương</t>
  </si>
  <si>
    <t>Xã Chiềng Ken</t>
  </si>
  <si>
    <t>Xã Dương Quỳ</t>
  </si>
  <si>
    <t>Xã Khánh Yên</t>
  </si>
  <si>
    <t>Xã Võ Lao</t>
  </si>
  <si>
    <t>Xã Bản Hồ</t>
  </si>
  <si>
    <t>Xã Tả Phìn</t>
  </si>
  <si>
    <t>Xã Tả Van</t>
  </si>
  <si>
    <t>Xã Ngũ Chỉ Sơn</t>
  </si>
  <si>
    <t>Xã Văn Bàn</t>
  </si>
  <si>
    <t>Xã Bát Xát</t>
  </si>
  <si>
    <t>Xã Mường Hum</t>
  </si>
  <si>
    <t>Xã Dền Sáng</t>
  </si>
  <si>
    <t>Xã Y Tý</t>
  </si>
  <si>
    <t>Xã A Mú Sung</t>
  </si>
  <si>
    <t>Xã Trịnh Tường</t>
  </si>
  <si>
    <t>Xã Bản Xèo</t>
  </si>
  <si>
    <t>Phường Sa Pa</t>
  </si>
  <si>
    <t>Xã Mường Bo</t>
  </si>
  <si>
    <t>Xã Cao Sơn</t>
  </si>
  <si>
    <t>Xã Bản Lầu</t>
  </si>
  <si>
    <t>Xã Pha Long</t>
  </si>
  <si>
    <t>Xã Mường Khương</t>
  </si>
  <si>
    <t>Xã Lùng Phình</t>
  </si>
  <si>
    <t>Xã Tả Củ Tỷ</t>
  </si>
  <si>
    <t>Xã Bản Liền</t>
  </si>
  <si>
    <t>Xã Bảo Nhai</t>
  </si>
  <si>
    <t>Xã Cốc Lầu</t>
  </si>
  <si>
    <t>Xã Sín Chéng</t>
  </si>
  <si>
    <t>Xã Si Ma Cai</t>
  </si>
  <si>
    <t>Xã Tân Hợp</t>
  </si>
  <si>
    <t>-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</si>
  <si>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</si>
  <si>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</si>
  <si>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</si>
  <si>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</si>
  <si>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</si>
  <si>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</si>
  <si>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</si>
  <si>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</si>
  <si>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</si>
  <si>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</si>
  <si>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</si>
  <si>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</si>
  <si>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</si>
  <si>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</si>
  <si>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</si>
  <si>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</si>
  <si>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</si>
  <si>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</si>
  <si>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</si>
  <si>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</si>
  <si>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</si>
  <si>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</si>
  <si>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</si>
  <si>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</si>
  <si>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</si>
  <si>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</si>
  <si>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</si>
  <si>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</si>
  <si>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</si>
  <si>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</si>
  <si>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</si>
  <si>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</si>
  <si>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</si>
  <si>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</si>
  <si>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</si>
  <si>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</si>
  <si>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</si>
  <si>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</si>
  <si>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</si>
  <si>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</si>
  <si>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</si>
  <si>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</si>
  <si>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</si>
  <si>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</si>
  <si>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</si>
  <si>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</si>
  <si>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</si>
  <si>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</si>
  <si>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</si>
  <si>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</si>
  <si>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</si>
  <si>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</si>
  <si>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</si>
  <si>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</si>
  <si>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</si>
  <si>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</si>
  <si>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</si>
  <si>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</si>
  <si>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</si>
  <si>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</si>
  <si>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Chưa đạt chuẩn</t>
  </si>
  <si>
    <t>Có nhưng chưa đạt chuẩn</t>
  </si>
  <si>
    <t>Thôn Trống Là</t>
  </si>
  <si>
    <t>Thôn Trống Gầu Bua</t>
  </si>
  <si>
    <t>Thôn Háng Đề Chu</t>
  </si>
  <si>
    <t>Thôn Trống Trở</t>
  </si>
  <si>
    <t>Thôn Háng Á</t>
  </si>
  <si>
    <t>Thôn Háng Cháng Lừ</t>
  </si>
  <si>
    <t>Thôn Háng Đề Đài</t>
  </si>
  <si>
    <t>Thôn Thái</t>
  </si>
  <si>
    <t>Thôn Nả Dề Thàng</t>
  </si>
  <si>
    <t>Thôn Khao Mang</t>
  </si>
  <si>
    <t>Thôn Séo Mả Pán</t>
  </si>
  <si>
    <t>Thôn Háng BLa Ha A</t>
  </si>
  <si>
    <t>Thôn Háng Bla Ha B</t>
  </si>
  <si>
    <t>Chưa có</t>
  </si>
  <si>
    <t>Thôn Hạ</t>
  </si>
  <si>
    <t>Thôn Thượng</t>
  </si>
  <si>
    <t>Nậm Kẹn</t>
  </si>
  <si>
    <t>Nậm Đinh</t>
  </si>
  <si>
    <t>Nậm Cằm</t>
  </si>
  <si>
    <t>Nậm Lạn</t>
  </si>
  <si>
    <t>Thôn Nậm Mả</t>
  </si>
  <si>
    <t xml:space="preserve">Thôn Nậm Trang </t>
  </si>
  <si>
    <t>Chiềng 1</t>
  </si>
  <si>
    <t>Chiềng 2</t>
  </si>
  <si>
    <t>Chiềng 3</t>
  </si>
  <si>
    <t>Chiềng 4</t>
  </si>
  <si>
    <t>Chiềng 5</t>
  </si>
  <si>
    <t>Bất 1</t>
  </si>
  <si>
    <t>Bất 2</t>
  </si>
  <si>
    <t>Ngầu 1</t>
  </si>
  <si>
    <t>Ngầu 2</t>
  </si>
  <si>
    <t>Ngầu 3</t>
  </si>
  <si>
    <t>Loạc</t>
  </si>
  <si>
    <t>Thị Tứ</t>
  </si>
  <si>
    <t>Là 1</t>
  </si>
  <si>
    <t>Là 2</t>
  </si>
  <si>
    <t>Là 3</t>
  </si>
  <si>
    <t>Én 1</t>
  </si>
  <si>
    <t>Én 2</t>
  </si>
  <si>
    <t>Én 3</t>
  </si>
  <si>
    <t>Vinh 1</t>
  </si>
  <si>
    <t>Vinh 2</t>
  </si>
  <si>
    <t>Lủ 1</t>
  </si>
  <si>
    <t>Lủ 2</t>
  </si>
  <si>
    <t>Lủ 3</t>
  </si>
  <si>
    <t>Lủ 4</t>
  </si>
  <si>
    <t>Xuân Trung</t>
  </si>
  <si>
    <t>Tân Tiến</t>
  </si>
  <si>
    <t>Văn Xuân</t>
  </si>
  <si>
    <t>Xuân Hồng</t>
  </si>
  <si>
    <t>Văn Thủy</t>
  </si>
  <si>
    <t>Xuân Tiến</t>
  </si>
  <si>
    <t>(78)</t>
  </si>
  <si>
    <t>Đạt chuẩn</t>
  </si>
  <si>
    <t>Trung Tâm</t>
  </si>
  <si>
    <t>Xã không có trường nội trú, bán trú</t>
  </si>
  <si>
    <t>Thôn 1</t>
  </si>
  <si>
    <t>Thôn 2</t>
  </si>
  <si>
    <t>Thôn 3</t>
  </si>
  <si>
    <t>Thôn 4</t>
  </si>
  <si>
    <t>Thôn 5</t>
  </si>
  <si>
    <t>Thôn Chế Cu Nha</t>
  </si>
  <si>
    <t>Thôn Thào Chua Chải</t>
  </si>
  <si>
    <t>Thôn Dề Thàng</t>
  </si>
  <si>
    <t>Thôn Trống Tông</t>
  </si>
  <si>
    <t>Thôn Háng Chua Xay</t>
  </si>
  <si>
    <t>Thôn Cung 11</t>
  </si>
  <si>
    <t>Thôn Háng Phừ Loa</t>
  </si>
  <si>
    <t>Thôn Mồ Dề</t>
  </si>
  <si>
    <t>Thôn Nả Háng</t>
  </si>
  <si>
    <t>Thôn Mý Háng</t>
  </si>
  <si>
    <t>Thôn Sáng Nhù</t>
  </si>
  <si>
    <t>Thôn Háng Sung</t>
  </si>
  <si>
    <t>Thôn Màng Mủ</t>
  </si>
  <si>
    <t>Thôn Dào Xa</t>
  </si>
  <si>
    <t>Thôn La Phu Khơ</t>
  </si>
  <si>
    <t>Thôn Háng Đang Dê</t>
  </si>
  <si>
    <t>Thôn Tà Chơ</t>
  </si>
  <si>
    <t>Phìn Hồ</t>
  </si>
  <si>
    <t>Trung Chải</t>
  </si>
  <si>
    <t>Phan Cán Sử</t>
  </si>
  <si>
    <t>Mò Phú Chải</t>
  </si>
  <si>
    <t>Tả Gì Thàng</t>
  </si>
  <si>
    <t>Ngải Trồ</t>
  </si>
  <si>
    <t>Choản Thèn</t>
  </si>
  <si>
    <t>Lao Chải</t>
  </si>
  <si>
    <t>Sín Chải</t>
  </si>
  <si>
    <t>Sim San 1</t>
  </si>
  <si>
    <t>Sim San 2</t>
  </si>
  <si>
    <t>Hồng Ngài</t>
  </si>
  <si>
    <t>Tả Suối Câu</t>
  </si>
  <si>
    <t>Ngải Chồ</t>
  </si>
  <si>
    <t>A Lù 1</t>
  </si>
  <si>
    <t>A Lù 2</t>
  </si>
  <si>
    <t>Khoa San Chải</t>
  </si>
  <si>
    <t>Khu Chu Lìn</t>
  </si>
  <si>
    <t>Séo Phìn Chư</t>
  </si>
  <si>
    <t>Phìn Chải 1</t>
  </si>
  <si>
    <t>Phìn Chải 2</t>
  </si>
  <si>
    <t>Chin Chu Lìn</t>
  </si>
  <si>
    <t>Cán Cấu</t>
  </si>
  <si>
    <t>Ngải Thầu Hạ</t>
  </si>
  <si>
    <t>Ngải Thầu Thượng</t>
  </si>
  <si>
    <t>(67)</t>
  </si>
  <si>
    <t>Nội trú: 40,4; Bán trú: 82,2</t>
  </si>
  <si>
    <t>Bán trú: 54,2</t>
  </si>
  <si>
    <t>Thôn Trung Tâm</t>
  </si>
  <si>
    <t>Thôn Yên Thành</t>
  </si>
  <si>
    <t>Bán trú: 47</t>
  </si>
  <si>
    <t>98,5</t>
  </si>
  <si>
    <t>93,14</t>
  </si>
  <si>
    <t>Bán trú: 52</t>
  </si>
  <si>
    <t>Bán trú: 63,2</t>
  </si>
  <si>
    <t>Thôn 6</t>
  </si>
  <si>
    <t>Thôn 7</t>
  </si>
  <si>
    <t>Thôn 8</t>
  </si>
  <si>
    <t>Thôn 9</t>
  </si>
  <si>
    <t>Thôn 10</t>
  </si>
  <si>
    <t>Thôn 11</t>
  </si>
  <si>
    <t>Thôn 12</t>
  </si>
  <si>
    <t>Thôn 13</t>
  </si>
  <si>
    <t>Sả Xéng</t>
  </si>
  <si>
    <t>Tả Chải</t>
  </si>
  <si>
    <t>Lủ Khấu</t>
  </si>
  <si>
    <t>Suối Thầu</t>
  </si>
  <si>
    <t>Can Ngài</t>
  </si>
  <si>
    <t>Giàng Tra</t>
  </si>
  <si>
    <t>Chu lìn I</t>
  </si>
  <si>
    <t>Chu lìn II</t>
  </si>
  <si>
    <t>Móng sến I</t>
  </si>
  <si>
    <t>Móng sến II</t>
  </si>
  <si>
    <t>Vù Lùng Sung</t>
  </si>
  <si>
    <t>Pờ Sì Ngài</t>
  </si>
  <si>
    <t>Giàng Tra 1</t>
  </si>
  <si>
    <t>(74)</t>
  </si>
  <si>
    <t>Bán trú: 85,1</t>
  </si>
  <si>
    <t>Thôn Mào Sao Chải</t>
  </si>
  <si>
    <t>Thôn Ngải Phóng Chồ</t>
  </si>
  <si>
    <t>Thôn Phìn Chư</t>
  </si>
  <si>
    <t>Bán trú: 74,7</t>
  </si>
  <si>
    <t>Bán trú: 75,4</t>
  </si>
  <si>
    <t>Bán trú: 42,15</t>
  </si>
  <si>
    <t>Bán trú: 60</t>
  </si>
  <si>
    <t>Thôn Tấu Trên</t>
  </si>
  <si>
    <t>Thôn Tấu Dưới</t>
  </si>
  <si>
    <t>Thôn Km 14+17</t>
  </si>
  <si>
    <t>Thôn Mo Nhang + Km 21</t>
  </si>
  <si>
    <t>Thôn Tà Tầu</t>
  </si>
  <si>
    <t>Thôn Pá Hu</t>
  </si>
  <si>
    <t>Thôn Háng Gàng</t>
  </si>
  <si>
    <t>Thôn Cang Dông</t>
  </si>
  <si>
    <t>Thôn Giao Lâu</t>
  </si>
  <si>
    <t>Thôn Háng Tây</t>
  </si>
  <si>
    <t>Thôn Pá Lau</t>
  </si>
  <si>
    <t>Thôn Tàng Ghênh</t>
  </si>
  <si>
    <t>Thôn Háng Tầu</t>
  </si>
  <si>
    <t>Thôn Pa Te</t>
  </si>
  <si>
    <t>Thôn Làng Linh</t>
  </si>
  <si>
    <t>Thôn Pá Khoang</t>
  </si>
  <si>
    <t>Thôn Tống Trong</t>
  </si>
  <si>
    <t>Thôn Tống Ngoài</t>
  </si>
  <si>
    <t>Bán trú: 50</t>
  </si>
  <si>
    <t> 38,5</t>
  </si>
  <si>
    <t>Nội trú: 0; Bán trú: 80</t>
  </si>
  <si>
    <t>(73)</t>
  </si>
  <si>
    <t>Thôn Hỏm Dưới</t>
  </si>
  <si>
    <t>Thôn Hỏm Trên</t>
  </si>
  <si>
    <t>Thôn Nậm Chày</t>
  </si>
  <si>
    <t>Thôn Pờ Xì Ngài</t>
  </si>
  <si>
    <t>Thôn Lán Bò</t>
  </si>
  <si>
    <t>Thôn Khâm Dưới</t>
  </si>
  <si>
    <t>Thôn Khâm Trên</t>
  </si>
  <si>
    <t>Thôn Tà Mòong</t>
  </si>
  <si>
    <t>Thôn Nậm Tăm</t>
  </si>
  <si>
    <t>Thôn Nậm Mười</t>
  </si>
  <si>
    <t>Thôn Dần Thàng</t>
  </si>
  <si>
    <t>Thôn Nậm Cần</t>
  </si>
  <si>
    <t>(83)</t>
  </si>
  <si>
    <t>Đã đạt chuẩn</t>
  </si>
  <si>
    <t>Nậm Tóong</t>
  </si>
  <si>
    <t>Ma Quái Hồ</t>
  </si>
  <si>
    <t>Hoàng Liên</t>
  </si>
  <si>
    <t>Séo Trung Hồ</t>
  </si>
  <si>
    <t>Tả Trung Hồ</t>
  </si>
  <si>
    <t>La Ve</t>
  </si>
  <si>
    <t>Bản Dền</t>
  </si>
  <si>
    <t>Lếch Dao</t>
  </si>
  <si>
    <t>Bản Kim</t>
  </si>
  <si>
    <t>Lếch Mông</t>
  </si>
  <si>
    <t>Bản Sái</t>
  </si>
  <si>
    <t>Phùng Mông</t>
  </si>
  <si>
    <t>Phùng Dao</t>
  </si>
  <si>
    <t>Nậm Si</t>
  </si>
  <si>
    <t>Bản Tòong</t>
  </si>
  <si>
    <t>Bản Pho</t>
  </si>
  <si>
    <t>Bán trú: 55</t>
  </si>
  <si>
    <t>Bán trú: 72,4</t>
  </si>
  <si>
    <t>Phù Lao Chải</t>
  </si>
  <si>
    <t>Y Giang</t>
  </si>
  <si>
    <t>Tung Qua</t>
  </si>
  <si>
    <t>Tùng Sáng</t>
  </si>
  <si>
    <t>Lũng Pô</t>
  </si>
  <si>
    <t>Nậm Chạc</t>
  </si>
  <si>
    <t>Nậm Giang 1</t>
  </si>
  <si>
    <t>Nậm Giang 2</t>
  </si>
  <si>
    <t>Nậm Khoang</t>
  </si>
  <si>
    <t>Suối Thầu 3</t>
  </si>
  <si>
    <t>Biên Hoà</t>
  </si>
  <si>
    <t>Cửa Suối</t>
  </si>
  <si>
    <t>(68)</t>
  </si>
  <si>
    <t>Tiền Phong</t>
  </si>
  <si>
    <t>Thôn 3A</t>
  </si>
  <si>
    <t>Thôn 3B</t>
  </si>
  <si>
    <t>Thôn 6B</t>
  </si>
  <si>
    <t>67,91</t>
  </si>
  <si>
    <t>32,09</t>
  </si>
  <si>
    <t>Bán trú: 0</t>
  </si>
  <si>
    <t>Bán trú: 78,2</t>
  </si>
  <si>
    <t>Thôn Tân Lập</t>
  </si>
  <si>
    <t>Thôn Sín Chải A</t>
  </si>
  <si>
    <t>Thôn Sín Chải B</t>
  </si>
  <si>
    <t>Thôn Bản Pho</t>
  </si>
  <si>
    <t>Bán trú: 66,3</t>
  </si>
  <si>
    <t>Bán trú: 72,7</t>
  </si>
  <si>
    <t>Bán trú: 64,88</t>
  </si>
  <si>
    <t>Bán trú: 69,8</t>
  </si>
  <si>
    <t>Không có đường xã</t>
  </si>
  <si>
    <t>Thôn 1 Làng Nồi</t>
  </si>
  <si>
    <t>Thôn 2 Làng Na</t>
  </si>
  <si>
    <t>Thôn  Phú Mỹ</t>
  </si>
  <si>
    <t xml:space="preserve">Thôn Đồng Tâm </t>
  </si>
  <si>
    <t>Thôn Cà Lồ</t>
  </si>
  <si>
    <t>Thôn Xuân Lai</t>
  </si>
  <si>
    <t>Thôn Cây Mơ</t>
  </si>
  <si>
    <t>Thôn Cây Tre</t>
  </si>
  <si>
    <t>Thôn Ngòi Di</t>
  </si>
  <si>
    <t xml:space="preserve">Thôn Trung Tâm </t>
  </si>
  <si>
    <t>Thôn Khe Ngang</t>
  </si>
  <si>
    <t>Thôn Cối Máy</t>
  </si>
  <si>
    <t>Thôn Máy Đựng</t>
  </si>
  <si>
    <t>Thôn Khe Cạn</t>
  </si>
  <si>
    <t>Thôn Ngòi Khương</t>
  </si>
  <si>
    <t>Thôn Khuân Đát</t>
  </si>
  <si>
    <t>Thôn Làng Cại</t>
  </si>
  <si>
    <t>Thôn Đồng Tha</t>
  </si>
  <si>
    <t>Thôn Đồng Tâm 1</t>
  </si>
  <si>
    <t>Thôn Đồng Tý</t>
  </si>
  <si>
    <t>(39)</t>
  </si>
  <si>
    <t>Thôn Tiên Phong</t>
  </si>
  <si>
    <t>Xã không thuộc vùng</t>
  </si>
  <si>
    <t>Xã ko thuộc vùng</t>
  </si>
  <si>
    <t xml:space="preserve">xã không có trường phổ thông DTNT; phổ thông DT bán trú; Không có đối tượng bán trú </t>
  </si>
  <si>
    <t>Thôn Khe Lếch</t>
  </si>
  <si>
    <t>Bán trú: 20</t>
  </si>
  <si>
    <t>Tân Lập</t>
  </si>
  <si>
    <t>An Thành</t>
  </si>
  <si>
    <t>Bán trú: 53,7</t>
  </si>
  <si>
    <t>chưa có</t>
  </si>
  <si>
    <t>(79)</t>
  </si>
  <si>
    <t>Thôn Ỏ</t>
  </si>
  <si>
    <t>Thôn Đồng Qua</t>
  </si>
  <si>
    <t>Thôn Khổi Ngoa</t>
  </si>
  <si>
    <t>Thôn Lâm Sinh</t>
  </si>
  <si>
    <t>Thôn Phú Mậu</t>
  </si>
  <si>
    <t>Thôn Liêm</t>
  </si>
  <si>
    <t>Thôn Khổi Ai</t>
  </si>
  <si>
    <t>Thôn Khổi Mèo</t>
  </si>
  <si>
    <t>Thôn Giằng</t>
  </si>
  <si>
    <t>Thôn Xuân Khánh</t>
  </si>
  <si>
    <t>Thôn Lảng 1</t>
  </si>
  <si>
    <t>Thôn Phát Cưởm</t>
  </si>
  <si>
    <t>Thôn Bô 2</t>
  </si>
  <si>
    <t>Thôn Pắc Xung</t>
  </si>
  <si>
    <t>Thôn Độc Lập</t>
  </si>
  <si>
    <t>Thôn Bô 1</t>
  </si>
  <si>
    <t>Thôn Bô</t>
  </si>
  <si>
    <t>Thôn Lảng 2</t>
  </si>
  <si>
    <t>Thôn Sung 2</t>
  </si>
  <si>
    <t>Thôn Nà Nheo</t>
  </si>
  <si>
    <t>Làn 1</t>
  </si>
  <si>
    <t>Làn 2</t>
  </si>
  <si>
    <t>Bơ</t>
  </si>
  <si>
    <t>Noong Khuấn</t>
  </si>
  <si>
    <t>Thôn Sung 1</t>
  </si>
  <si>
    <t>Bán trú: 41</t>
  </si>
  <si>
    <t>Thôn Vi Mã</t>
  </si>
  <si>
    <t>Thôn Sín Chải</t>
  </si>
  <si>
    <t>Thôn Khởi Khe</t>
  </si>
  <si>
    <t>Thôn Quy Ke</t>
  </si>
  <si>
    <t>Thôn Cốc Né</t>
  </si>
  <si>
    <t>Thôn Ải Dõng</t>
  </si>
  <si>
    <t>Thôn Tòng Già</t>
  </si>
  <si>
    <t>Thôn Ải Nam</t>
  </si>
  <si>
    <t>Thôn Sín Thèn</t>
  </si>
  <si>
    <t>Thôn Nậm Chủ</t>
  </si>
  <si>
    <t>Thôn Nậm Choỏng</t>
  </si>
  <si>
    <t>Thôn Bản Cầm</t>
  </si>
  <si>
    <t>Thôn Bản Lọt</t>
  </si>
  <si>
    <t>Thôn Nậm Tang</t>
  </si>
  <si>
    <t>(92)</t>
  </si>
  <si>
    <t>Bán trú: 65,2</t>
  </si>
  <si>
    <t>(69)</t>
  </si>
  <si>
    <t>Bản Trung</t>
  </si>
  <si>
    <t>Phìn Ngan</t>
  </si>
  <si>
    <t>Bản Lầu</t>
  </si>
  <si>
    <t>Tân Quang</t>
  </si>
  <si>
    <t>Tùng Chỉn 2</t>
  </si>
  <si>
    <t>Tùng Chỉn 3</t>
  </si>
  <si>
    <t>Dền Thàng</t>
  </si>
  <si>
    <t>Phố Mới 1</t>
  </si>
  <si>
    <t>Phố Mới 2</t>
  </si>
  <si>
    <t>Ná Đoong</t>
  </si>
  <si>
    <t>Tả Cổ Thàng</t>
  </si>
  <si>
    <t>Nà Lặc</t>
  </si>
  <si>
    <t>San Hồ</t>
  </si>
  <si>
    <t>Tân Giang</t>
  </si>
  <si>
    <t>Bầu Bàng</t>
  </si>
  <si>
    <t>Tân Long</t>
  </si>
  <si>
    <t xml:space="preserve">Nậm Chỏn </t>
  </si>
  <si>
    <t>Vĩ Kẽm</t>
  </si>
  <si>
    <t>Ná Lùng</t>
  </si>
  <si>
    <t>Bản Trang</t>
  </si>
  <si>
    <t>Sơn Hà</t>
  </si>
  <si>
    <t>Tả Câu Liềng</t>
  </si>
  <si>
    <t>Séo Phìn Than</t>
  </si>
  <si>
    <t>Dìn Pèng</t>
  </si>
  <si>
    <t>Bán trú: 69,5</t>
  </si>
  <si>
    <t>(76)</t>
  </si>
  <si>
    <t>Can Hồ B</t>
  </si>
  <si>
    <t>Can Hồ A</t>
  </si>
  <si>
    <t>Can Hồ Mông</t>
  </si>
  <si>
    <t>Xín Chải</t>
  </si>
  <si>
    <t>Yên Sơn</t>
  </si>
  <si>
    <t>Xà Chải</t>
  </si>
  <si>
    <t>Kim Ngan</t>
  </si>
  <si>
    <t>Móng Xóa</t>
  </si>
  <si>
    <t>Cửa Cải</t>
  </si>
  <si>
    <t xml:space="preserve">Suối Thầu I </t>
  </si>
  <si>
    <t>Suối Thầu II</t>
  </si>
  <si>
    <t>Thôn Làng Mới</t>
  </si>
  <si>
    <t>Thôn San Lùng</t>
  </si>
  <si>
    <t xml:space="preserve">Thôn Nậm Mười </t>
  </si>
  <si>
    <t xml:space="preserve">Thôn Háo Pành </t>
  </si>
  <si>
    <t>Thôn Nậm Biếu</t>
  </si>
  <si>
    <t xml:space="preserve">Thôn Làng Cò </t>
  </si>
  <si>
    <t>Thôn Liên Sưu</t>
  </si>
  <si>
    <t>Thôn Ngã Hai</t>
  </si>
  <si>
    <t>Thôn Khe Trang</t>
  </si>
  <si>
    <t>Thôn Ngã Ba</t>
  </si>
  <si>
    <t>Thôn Nà Nọi</t>
  </si>
  <si>
    <t>Thôn Sùng Đô</t>
  </si>
  <si>
    <t>Thôn Giàng Pằng</t>
  </si>
  <si>
    <t xml:space="preserve">Thôn Làng Mảnh </t>
  </si>
  <si>
    <t xml:space="preserve">Thôn Vàng Ngần </t>
  </si>
  <si>
    <t>Thôn Thẳm Có</t>
  </si>
  <si>
    <t xml:space="preserve">Thôn Suối Quyền </t>
  </si>
  <si>
    <t xml:space="preserve">Thôn Suối Bắc </t>
  </si>
  <si>
    <t xml:space="preserve">Thôn Suối Bó </t>
  </si>
  <si>
    <t xml:space="preserve">Thôn Bản Mười </t>
  </si>
  <si>
    <t>Thôn Bản Giõng</t>
  </si>
  <si>
    <t>Thôn Bản Lằm</t>
  </si>
  <si>
    <t>Thôn Nà La</t>
  </si>
  <si>
    <t>Thôn Bản Tủ</t>
  </si>
  <si>
    <t>Thôn Tành Hanh</t>
  </si>
  <si>
    <t>(17)</t>
  </si>
  <si>
    <t>(95)</t>
  </si>
  <si>
    <t>Tiến Cường</t>
  </si>
  <si>
    <t>Giao Ngay</t>
  </si>
  <si>
    <t>Giao Tiến</t>
  </si>
  <si>
    <t>Thái Bo</t>
  </si>
  <si>
    <t>Hòa Lạc</t>
  </si>
  <si>
    <t>Tiến Thắng</t>
  </si>
  <si>
    <t>Mường Bát</t>
  </si>
  <si>
    <t>Khe Luộc</t>
  </si>
  <si>
    <t>Bản Cam</t>
  </si>
  <si>
    <t>Phú Hùng</t>
  </si>
  <si>
    <t>Chang</t>
  </si>
  <si>
    <t>Muồng</t>
  </si>
  <si>
    <t>Cắp Kẹ</t>
  </si>
  <si>
    <t>Nậm Hẻn</t>
  </si>
  <si>
    <t>Đông Căm</t>
  </si>
  <si>
    <t>Hùng Thắng</t>
  </si>
  <si>
    <t>Bến Phà</t>
  </si>
  <si>
    <t>Phú Xuân</t>
  </si>
  <si>
    <t>Chính Tiến</t>
  </si>
  <si>
    <t>Soi Cờ</t>
  </si>
  <si>
    <t>Đồng Lục</t>
  </si>
  <si>
    <t>Bản Bay</t>
  </si>
  <si>
    <t>Xuân Tư</t>
  </si>
  <si>
    <t>Xuân Lý</t>
  </si>
  <si>
    <t>Tả Thàng</t>
  </si>
  <si>
    <t>Nậm Trà</t>
  </si>
  <si>
    <t>Nậm Phảng</t>
  </si>
  <si>
    <t>Tiến Lợi</t>
  </si>
  <si>
    <t>Vàng</t>
  </si>
  <si>
    <t>Giao Bình</t>
  </si>
  <si>
    <t>Phẻo</t>
  </si>
  <si>
    <t>Hùng Xuân 1</t>
  </si>
  <si>
    <t>Hùng Xuân 2</t>
  </si>
  <si>
    <t>Mường 1</t>
  </si>
  <si>
    <t>Mường 2</t>
  </si>
  <si>
    <t>Hợp Giao</t>
  </si>
  <si>
    <t>Tân Lợi</t>
  </si>
  <si>
    <t>Mỏ</t>
  </si>
  <si>
    <t>Chành</t>
  </si>
  <si>
    <t>Cù Hà</t>
  </si>
  <si>
    <t>Bán trú: 10</t>
  </si>
  <si>
    <t>(75)</t>
  </si>
  <si>
    <t>Thôn Hòa Sử Pán I</t>
  </si>
  <si>
    <t>Thôn Hòa Sử Pán II</t>
  </si>
  <si>
    <t>Thôn Vạn Dền Sử I</t>
  </si>
  <si>
    <t>Thôn Vạn Dền Sử II</t>
  </si>
  <si>
    <t>Thôn Thào Hồng Dến</t>
  </si>
  <si>
    <t>Thôn Hầu Chư Ngài</t>
  </si>
  <si>
    <t>Thôn Hang Đá</t>
  </si>
  <si>
    <t>Thôn Giàng Tả Chải</t>
  </si>
  <si>
    <t>Thôn Tả Van Dáy 1</t>
  </si>
  <si>
    <t>Thôn Tả Van Dáy 2</t>
  </si>
  <si>
    <t>Thôn Tả Van Mông</t>
  </si>
  <si>
    <t>Thôn Tả Chải Dao</t>
  </si>
  <si>
    <t>Thôn Dền Thàng</t>
  </si>
  <si>
    <t>Thôn Séo Mý Tỷ</t>
  </si>
  <si>
    <t>Thôn Cát Cát</t>
  </si>
  <si>
    <t>Thôn Ý Lình Hồ 1</t>
  </si>
  <si>
    <t>Thôn Ý Lình Hố 2</t>
  </si>
  <si>
    <t>Thôn Lao Hàng Chải</t>
  </si>
  <si>
    <t>Thôn Lồ Lao Chải</t>
  </si>
  <si>
    <t>Thôn Lao Chải San I</t>
  </si>
  <si>
    <t>Thôn Lao Chải San II</t>
  </si>
  <si>
    <t>(60)</t>
  </si>
  <si>
    <t>Lao Hầu</t>
  </si>
  <si>
    <t>Thính Chéng</t>
  </si>
  <si>
    <t>Nậm Rúp</t>
  </si>
  <si>
    <t>Sín Hồ</t>
  </si>
  <si>
    <t>Tả Thền A</t>
  </si>
  <si>
    <t>Pờ Hồ</t>
  </si>
  <si>
    <t>Nậm Pản</t>
  </si>
  <si>
    <t>Nậm Chảy</t>
  </si>
  <si>
    <t>Sấn Pản</t>
  </si>
  <si>
    <t>Gia Khâu A</t>
  </si>
  <si>
    <t>Lùng Phìn A</t>
  </si>
  <si>
    <t>Sảng Lùng Phìn</t>
  </si>
  <si>
    <t>Cốc Ngù</t>
  </si>
  <si>
    <t xml:space="preserve">Cốc Râm </t>
  </si>
  <si>
    <t>Gia Khâu B</t>
  </si>
  <si>
    <t>Mào Phìn</t>
  </si>
  <si>
    <t>Nhân Giống</t>
  </si>
  <si>
    <t>Dê Chú Thàng</t>
  </si>
  <si>
    <t>Xóm Mới</t>
  </si>
  <si>
    <t xml:space="preserve">Tùng lâu </t>
  </si>
  <si>
    <t>Na Khui</t>
  </si>
  <si>
    <t>Phố Cũ</t>
  </si>
  <si>
    <t>Na Đẩy</t>
  </si>
  <si>
    <t>Na Bủ-Hàm Rồng</t>
  </si>
  <si>
    <t xml:space="preserve">Mã Tuyển </t>
  </si>
  <si>
    <t>Sảng Chải</t>
  </si>
  <si>
    <t>Chúng Chải B</t>
  </si>
  <si>
    <t>Sa Pả</t>
  </si>
  <si>
    <t>Chúng Chải A</t>
  </si>
  <si>
    <t xml:space="preserve">Xóm chợ </t>
  </si>
  <si>
    <t>Tả Chư Phùng</t>
  </si>
  <si>
    <t>Páo Tủng</t>
  </si>
  <si>
    <t>Văng Leng</t>
  </si>
  <si>
    <t xml:space="preserve">Lũng Pâu </t>
  </si>
  <si>
    <t>Nàn Tiểu Hồ</t>
  </si>
  <si>
    <t>Cán Hồ</t>
  </si>
  <si>
    <t>Séo Tủng</t>
  </si>
  <si>
    <t>Vả Thàng</t>
  </si>
  <si>
    <t>Pạc Trà</t>
  </si>
  <si>
    <t>Tả Thền</t>
  </si>
  <si>
    <t>Cốc Mạc</t>
  </si>
  <si>
    <t>Nấm Oọc</t>
  </si>
  <si>
    <t>Pạc Ngam</t>
  </si>
  <si>
    <t>Cốc Chứ</t>
  </si>
  <si>
    <t>Ngam Lâm</t>
  </si>
  <si>
    <t>Lùng Húi</t>
  </si>
  <si>
    <t>Sao Cô Sỉn</t>
  </si>
  <si>
    <t>(61)</t>
  </si>
  <si>
    <t>Bán trú: 49,3</t>
  </si>
  <si>
    <t>60,9</t>
  </si>
  <si>
    <t>(93)</t>
  </si>
  <si>
    <t>Làng Bạc</t>
  </si>
  <si>
    <t>Làng My</t>
  </si>
  <si>
    <t>Làng Gạo</t>
  </si>
  <si>
    <t>Gốc Mít</t>
  </si>
  <si>
    <t>Hốc Đá</t>
  </si>
  <si>
    <t>Hang Đá</t>
  </si>
  <si>
    <t>Làng Lân</t>
  </si>
  <si>
    <t>Trang Nùng</t>
  </si>
  <si>
    <t>Thái Vô</t>
  </si>
  <si>
    <t>Nậm Dù</t>
  </si>
  <si>
    <t>Cốc Pục</t>
  </si>
  <si>
    <t>Xuân Quang 2</t>
  </si>
  <si>
    <t>Cầu Nhò</t>
  </si>
  <si>
    <t>Làng Ẻn</t>
  </si>
  <si>
    <t>Trì Thượng</t>
  </si>
  <si>
    <t>Quang Lập</t>
  </si>
  <si>
    <t>Tân Thượng</t>
  </si>
  <si>
    <t>Làng Trung</t>
  </si>
  <si>
    <t>Làng Mạ</t>
  </si>
  <si>
    <t>Làng Đào 2</t>
  </si>
  <si>
    <t>Cốc Tủm 1</t>
  </si>
  <si>
    <t>Cốc Tủm 2</t>
  </si>
  <si>
    <t>Cốc Sâm 1</t>
  </si>
  <si>
    <t>Cốc Sâm 2</t>
  </si>
  <si>
    <t>Cốc Sâm 5</t>
  </si>
  <si>
    <t>Cốc Sâm 4</t>
  </si>
  <si>
    <t>Làng Cung 1</t>
  </si>
  <si>
    <t>Làng Cung 3</t>
  </si>
  <si>
    <t>Làng Có 1</t>
  </si>
  <si>
    <t>Làng Có 2</t>
  </si>
  <si>
    <t>An Hồ</t>
  </si>
  <si>
    <t>Xả Hồ</t>
  </si>
  <si>
    <t>Phìn Giàng</t>
  </si>
  <si>
    <t>Tân Phong</t>
  </si>
  <si>
    <t>Cốc Toòng</t>
  </si>
  <si>
    <t>(94)</t>
  </si>
  <si>
    <t>Bán trú: 87,5</t>
  </si>
  <si>
    <t>(85)</t>
  </si>
  <si>
    <t>Thôn 2A</t>
  </si>
  <si>
    <t>Thôn 2B</t>
  </si>
  <si>
    <t>Thôn 4A</t>
  </si>
  <si>
    <t>Thôn 4B</t>
  </si>
  <si>
    <t>Thôn 5A</t>
  </si>
  <si>
    <t>Thôn 5B</t>
  </si>
  <si>
    <t>Thôn 6A</t>
  </si>
  <si>
    <t>Thôn 9A</t>
  </si>
  <si>
    <t>Thôn 9B</t>
  </si>
  <si>
    <t>Thôn Vuộc</t>
  </si>
  <si>
    <t>Thôn Lương Hải</t>
  </si>
  <si>
    <t>Thôn Chiềng 1</t>
  </si>
  <si>
    <t>Thôn Chiềng 2</t>
  </si>
  <si>
    <t>Thôn Pịt</t>
  </si>
  <si>
    <t>Thôn Phia</t>
  </si>
  <si>
    <t>Thôn Khe Pịa</t>
  </si>
  <si>
    <t>Thôn Sài 1</t>
  </si>
  <si>
    <t>Thôn Sài 2</t>
  </si>
  <si>
    <t>Thôn Mạ 1</t>
  </si>
  <si>
    <t>Thôn Mạ 2</t>
  </si>
  <si>
    <t>Thôn  Múi 1</t>
  </si>
  <si>
    <t>Thôn Múi 3</t>
  </si>
  <si>
    <t>Thôn Lự</t>
  </si>
  <si>
    <t>Thôn Bát</t>
  </si>
  <si>
    <t>Thôn Chom</t>
  </si>
  <si>
    <t>Bản 1 Là</t>
  </si>
  <si>
    <t>Bản 2 Là</t>
  </si>
  <si>
    <t>Bản 3 Là</t>
  </si>
  <si>
    <t>Bản 1 Vành</t>
  </si>
  <si>
    <t>Bản 2 Vành</t>
  </si>
  <si>
    <t>Bản 3 Vành</t>
  </si>
  <si>
    <t>Bản 4 Vành</t>
  </si>
  <si>
    <t>Bản 6 Vành</t>
  </si>
  <si>
    <t>Bản 1 Thâu</t>
  </si>
  <si>
    <t>Bản 2 Thâu</t>
  </si>
  <si>
    <t>Bản 3 Thâu</t>
  </si>
  <si>
    <t xml:space="preserve">Nội trú: 38,2; Bán trú: 88,1 </t>
  </si>
  <si>
    <t>Bán trú: 64,7</t>
  </si>
  <si>
    <t>Thôn Nàng Cảng</t>
  </si>
  <si>
    <t>Bán trú: 46,2</t>
  </si>
  <si>
    <t>(62)</t>
  </si>
  <si>
    <t>Thôn Suối Thầu</t>
  </si>
  <si>
    <t>Thôn Thịnh Ổi</t>
  </si>
  <si>
    <t>Thôn Na Phả</t>
  </si>
  <si>
    <t>Thôn Na Vai</t>
  </si>
  <si>
    <t>Thôn Na Nối</t>
  </si>
  <si>
    <t>Thôn Bản Sen</t>
  </si>
  <si>
    <t>Thôn Phẳng Tao</t>
  </si>
  <si>
    <t>Thôn Cốc Chứ</t>
  </si>
  <si>
    <t>Thôn Na Nhung</t>
  </si>
  <si>
    <t>Thôn Na Lin</t>
  </si>
  <si>
    <t>Thôn Lùng Cẩu</t>
  </si>
  <si>
    <t>Thôn Na Pao</t>
  </si>
  <si>
    <t>Thôn Na Mạ 1</t>
  </si>
  <si>
    <t>Thôn Na Mạ 2</t>
  </si>
  <si>
    <t>Thôn Đồi Gianh</t>
  </si>
  <si>
    <t>Thôn Pạc Bo</t>
  </si>
  <si>
    <t>Thôn Na Lốc 1</t>
  </si>
  <si>
    <t>Thôn Na Lốc 2</t>
  </si>
  <si>
    <t>Thôn Na Lốc 3</t>
  </si>
  <si>
    <t>Thôn Na Lốc 4</t>
  </si>
  <si>
    <t>Thôn Cốc Phương</t>
  </si>
  <si>
    <t>Thôn Bản Sinh</t>
  </si>
  <si>
    <t>Thôn Đồng Căm</t>
  </si>
  <si>
    <t>Thôn Trung Tâm Lùng Vai</t>
  </si>
  <si>
    <t>Thôn Na Lang</t>
  </si>
  <si>
    <t>Thôn Cốc Lầy</t>
  </si>
  <si>
    <t>Thôn Lùng Vai</t>
  </si>
  <si>
    <t>Thôn Tảo Giàng</t>
  </si>
  <si>
    <t>Thôn Bồ Lũng</t>
  </si>
  <si>
    <t>Thôn Giáp Cư</t>
  </si>
  <si>
    <t>Thôn Chợ Chậu</t>
  </si>
  <si>
    <t>Thôn Cốc Cái</t>
  </si>
  <si>
    <t>Thôn Cốc Phúng</t>
  </si>
  <si>
    <t>Thôn Na Hạ</t>
  </si>
  <si>
    <t>Thôn Tà San</t>
  </si>
  <si>
    <t>Thôn Máo Chóa Sủ</t>
  </si>
  <si>
    <t>Thôn Thàng Chư Pến</t>
  </si>
  <si>
    <t>Thôn Tả Lủ</t>
  </si>
  <si>
    <t>Thôn Hoàng Phì Chải</t>
  </si>
  <si>
    <t>Thôn Xà Khái Tủng</t>
  </si>
  <si>
    <t>Thôn Sừ Ma Tủng</t>
  </si>
  <si>
    <t>Thôn Bản Phố</t>
  </si>
  <si>
    <t>Thôn Tả Lùng Thắng</t>
  </si>
  <si>
    <t>Thôn Lồ Cố Chin</t>
  </si>
  <si>
    <t>Thôn Sả Chải</t>
  </si>
  <si>
    <t>Thôn Pha Long 1</t>
  </si>
  <si>
    <t>Thôn Pha Long 2</t>
  </si>
  <si>
    <t>Thôn Lao Ma Chải</t>
  </si>
  <si>
    <t>Thôn Nì Sỉ 1+4</t>
  </si>
  <si>
    <t>Thôn Pao Pao Chải</t>
  </si>
  <si>
    <t>Thôn Lồ Suối Tủng</t>
  </si>
  <si>
    <t>Thôn Dìn Chin</t>
  </si>
  <si>
    <t>Thôn Ngải Thầu</t>
  </si>
  <si>
    <t>Thôn Lùng Sán Chồ</t>
  </si>
  <si>
    <t>Thôn Cùng Lũng</t>
  </si>
  <si>
    <t>Thôn Lồ Sử Thàng</t>
  </si>
  <si>
    <t>Thôn Cốc Cáng</t>
  </si>
  <si>
    <t xml:space="preserve"> Thôn Tả Gia Khâu</t>
  </si>
  <si>
    <t>Thôn Sín Pao Chải</t>
  </si>
  <si>
    <t>Thôn Lao Chải</t>
  </si>
  <si>
    <t>Thôn Na Măng</t>
  </si>
  <si>
    <t>Thôn Pạc Tà</t>
  </si>
  <si>
    <t>Thôn Vũ Sà</t>
  </si>
  <si>
    <t>Thôn Lao Tô Chải</t>
  </si>
  <si>
    <t>Thôn Thải Giàng sán</t>
  </si>
  <si>
    <t>Bán trú: 44,5</t>
  </si>
  <si>
    <t>(20)</t>
  </si>
  <si>
    <t>Đát Quang</t>
  </si>
  <si>
    <t xml:space="preserve">Khe Hả </t>
  </si>
  <si>
    <t>Đồng Then</t>
  </si>
  <si>
    <t>Đồng Quéo</t>
  </si>
  <si>
    <t xml:space="preserve">Đồng Mận </t>
  </si>
  <si>
    <t>Đồng Bẳn</t>
  </si>
  <si>
    <t>Khe Sừng</t>
  </si>
  <si>
    <t>Khe Nhừ</t>
  </si>
  <si>
    <t>Tó</t>
  </si>
  <si>
    <t>Tân Phương</t>
  </si>
  <si>
    <t>Mỵ</t>
  </si>
  <si>
    <t>Thanh Tú</t>
  </si>
  <si>
    <t>Bằng Là 2</t>
  </si>
  <si>
    <t>Bằng Là 1</t>
  </si>
  <si>
    <t>Khe Mơ</t>
  </si>
  <si>
    <t>Kè</t>
  </si>
  <si>
    <t>Khe Đồng</t>
  </si>
  <si>
    <t>Lường</t>
  </si>
  <si>
    <t>Thôn Bồ</t>
  </si>
  <si>
    <t>Thôn Bồ Ba</t>
  </si>
  <si>
    <t>Thôn Dày 1</t>
  </si>
  <si>
    <t>Thôn Dày 2</t>
  </si>
  <si>
    <t>Thôn Cao 1</t>
  </si>
  <si>
    <t>Thôn Cao 2</t>
  </si>
  <si>
    <t>Thôn Chùa 1</t>
  </si>
  <si>
    <t>Thôn Chùa 2</t>
  </si>
  <si>
    <t>Thôn Lạn</t>
  </si>
  <si>
    <t>Thôn Ngoã</t>
  </si>
  <si>
    <t>Thôn Kiến Thịnh 1</t>
  </si>
  <si>
    <t>Thôn Dù</t>
  </si>
  <si>
    <t>(34)</t>
  </si>
  <si>
    <t>Thôn Ky Quan San</t>
  </si>
  <si>
    <t>Thôn Trung Hồ</t>
  </si>
  <si>
    <t>Bán trú: 44,2</t>
  </si>
  <si>
    <t>Bản Liên Hà 5</t>
  </si>
  <si>
    <t>Bản Liên Hà 7</t>
  </si>
  <si>
    <t xml:space="preserve">Bản Lúc </t>
  </si>
  <si>
    <t>Bản Bùn 1</t>
  </si>
  <si>
    <t>Bản Bùn 2</t>
  </si>
  <si>
    <t>Bản Bùn 3</t>
  </si>
  <si>
    <t>Bản Bùn 4</t>
  </si>
  <si>
    <t>Bản Tắp 1</t>
  </si>
  <si>
    <t>Bản Tắp 2</t>
  </si>
  <si>
    <t>Bản Chùn</t>
  </si>
  <si>
    <t>Bản Khoai 1</t>
  </si>
  <si>
    <t>Bản Khoai 2</t>
  </si>
  <si>
    <t>Bản Khoai 3</t>
  </si>
  <si>
    <t>Bản Bông 1-2</t>
  </si>
  <si>
    <t>Bản Bông 3</t>
  </si>
  <si>
    <t>Bản Bông 4</t>
  </si>
  <si>
    <t>Thôn Cao Sơn</t>
  </si>
  <si>
    <t>Thôn 1 AB</t>
  </si>
  <si>
    <t>Thôn 2 AB</t>
  </si>
  <si>
    <t>Thôn 3 AB</t>
  </si>
  <si>
    <t>Thôn 4 AB</t>
  </si>
  <si>
    <t>Thôn 5 AB</t>
  </si>
  <si>
    <t>Thôn 6 AB</t>
  </si>
  <si>
    <t>Thôn 7 AB</t>
  </si>
  <si>
    <t>Thôn 1 Tân Văn</t>
  </si>
  <si>
    <t>Thôn 2 Tân Văn</t>
  </si>
  <si>
    <t>Thôn Bảo Ân</t>
  </si>
  <si>
    <t>Thôn 1 Nhai Tẻn</t>
  </si>
  <si>
    <t>Thôn 2 Nhai Tẻn</t>
  </si>
  <si>
    <t>Thôn 2 Nhai Thổ</t>
  </si>
  <si>
    <t>Thôn 3 Nhai Thổ</t>
  </si>
  <si>
    <t>Thôn 4 Nhai Thổ</t>
  </si>
  <si>
    <t>Thôn Ù Sóc</t>
  </si>
  <si>
    <t>Thôn Bản Mai</t>
  </si>
  <si>
    <t>Thôn Khe Dài</t>
  </si>
  <si>
    <t>Thôn Tân Trúc</t>
  </si>
  <si>
    <t>Thôn Ngầm Thỉn</t>
  </si>
  <si>
    <t>Thôn Thùng 1</t>
  </si>
  <si>
    <t>Thôn Thùng 2</t>
  </si>
  <si>
    <t>Thôn cam 3</t>
  </si>
  <si>
    <t>Thôn Cam 2</t>
  </si>
  <si>
    <t>Thôn Cam 1</t>
  </si>
  <si>
    <t>Thôn Cọn 1</t>
  </si>
  <si>
    <t>Thôn Cọn 2</t>
  </si>
  <si>
    <t>Thôn Tân Tiến</t>
  </si>
  <si>
    <t>Thôn Bỗng Buôn</t>
  </si>
  <si>
    <t>Thôn Bỗng 2</t>
  </si>
  <si>
    <t>Thôn Lỵ 1-2</t>
  </si>
  <si>
    <t>Thôn Lỵ 2-3</t>
  </si>
  <si>
    <t>Thôn Tân An 1</t>
  </si>
  <si>
    <t>Thôn Ba Soi</t>
  </si>
  <si>
    <t>Thôn Tân Sơn</t>
  </si>
  <si>
    <t>Thôn Ba Xã</t>
  </si>
  <si>
    <t>Thôn Mai Hồng 1</t>
  </si>
  <si>
    <t>Thôn Mai Hồng 2</t>
  </si>
  <si>
    <t>Thôn Mai Hồng 3</t>
  </si>
  <si>
    <t>Thôn Xuân Sang</t>
  </si>
  <si>
    <t>Thôn Khe Bàn</t>
  </si>
  <si>
    <t>(90)</t>
  </si>
  <si>
    <t>Thôn Cam 4</t>
  </si>
  <si>
    <t>Bán trú: 45</t>
  </si>
  <si>
    <t>Thôn Đồng Tâm</t>
  </si>
  <si>
    <t xml:space="preserve">Thôn An Thành </t>
  </si>
  <si>
    <t>Bán trú: 73,6</t>
  </si>
  <si>
    <t>Bán trú: 25</t>
  </si>
  <si>
    <t>Khe Dẹt</t>
  </si>
  <si>
    <t>Thôn Bản Tát</t>
  </si>
  <si>
    <t>Nội trú: 24,25</t>
  </si>
  <si>
    <t>(25)</t>
  </si>
  <si>
    <t>Làng Đền</t>
  </si>
  <si>
    <t>Khe Bá</t>
  </si>
  <si>
    <t>Phú An 1</t>
  </si>
  <si>
    <t>Phú Hải 1</t>
  </si>
  <si>
    <t>Nhuần 1</t>
  </si>
  <si>
    <t>Nhuần 2</t>
  </si>
  <si>
    <t>Nhuần 3</t>
  </si>
  <si>
    <t>Nhuần 4</t>
  </si>
  <si>
    <t>Nhuần 6</t>
  </si>
  <si>
    <t>Phú Thịnh 1</t>
  </si>
  <si>
    <t>Phú Thịnh 2</t>
  </si>
  <si>
    <t>Phú Thịnh 3</t>
  </si>
  <si>
    <t>Phú Lâm</t>
  </si>
  <si>
    <t>Phú Sơn</t>
  </si>
  <si>
    <t>Đầu Nhuần</t>
  </si>
  <si>
    <t>Phú Hà 1</t>
  </si>
  <si>
    <t>Phú Hà 2</t>
  </si>
  <si>
    <t>Phú Hợp 1</t>
  </si>
  <si>
    <t>Phú Hợp 2</t>
  </si>
  <si>
    <t>Thôn Trát 1</t>
  </si>
  <si>
    <t>Thôn Trát 2</t>
  </si>
  <si>
    <t>Thôn Tằng Loỏng</t>
  </si>
  <si>
    <t>Bán trú: 62,25</t>
  </si>
  <si>
    <t>Bán trú: 67,75</t>
  </si>
  <si>
    <t>(59)</t>
  </si>
  <si>
    <t xml:space="preserve">Thôn Lả Dì Thàng </t>
  </si>
  <si>
    <t>Thôn Lao Chải Phà Hai Tủng</t>
  </si>
  <si>
    <t>Thôn Nhiều Cù Ván</t>
  </si>
  <si>
    <t>Thôn Pù Chù Ván</t>
  </si>
  <si>
    <t>Thôn Xà Ván Sừ Mần Khang</t>
  </si>
  <si>
    <t>Thôn Tẩn Chư</t>
  </si>
  <si>
    <t>Thôn Lùng Sán</t>
  </si>
  <si>
    <t>Thôn Seng Sui</t>
  </si>
  <si>
    <t>Lênh Sui Thàng</t>
  </si>
  <si>
    <t>Thôn Nà Chí Phàng</t>
  </si>
  <si>
    <t>Thôn Chính Chư Phìn</t>
  </si>
  <si>
    <t>Thôn Lử Thẩn</t>
  </si>
  <si>
    <t>Thôn Pờ Chồ</t>
  </si>
  <si>
    <t>Thôn Lử Chồ</t>
  </si>
  <si>
    <t>Thôn Dì Thào Ván</t>
  </si>
  <si>
    <t>Thôn Lùng Phình</t>
  </si>
  <si>
    <t xml:space="preserve">Thôn Tả Chải </t>
  </si>
  <si>
    <t xml:space="preserve">Thôn Pả Chư Tỷ </t>
  </si>
  <si>
    <t>Bán trú: 43</t>
  </si>
  <si>
    <t>Xã không có trường Nội trú và bán trú</t>
  </si>
  <si>
    <t>(31)</t>
  </si>
  <si>
    <t>Làng Chạng</t>
  </si>
  <si>
    <t>Cao Sơn</t>
  </si>
  <si>
    <t>Thượng Sơn</t>
  </si>
  <si>
    <t xml:space="preserve">Khe Mạng </t>
  </si>
  <si>
    <t>Khe Táu</t>
  </si>
  <si>
    <t>Bản Lùng</t>
  </si>
  <si>
    <t>Làng Than</t>
  </si>
  <si>
    <t>Bán trú: 5</t>
  </si>
  <si>
    <t>Bán trú: 41,5</t>
  </si>
  <si>
    <t>(64)</t>
  </si>
  <si>
    <t>Thôn Van Hồ</t>
  </si>
  <si>
    <t>Thôn Tả Trang</t>
  </si>
  <si>
    <t>Thôn Sải Duần</t>
  </si>
  <si>
    <t>Thôn Sùng Bang</t>
  </si>
  <si>
    <t>Thôn Láo Sáng</t>
  </si>
  <si>
    <t>Thôn Láo Vàng</t>
  </si>
  <si>
    <t>Thôn Trung Chải</t>
  </si>
  <si>
    <t>Thôn Lò Suối Tủng</t>
  </si>
  <si>
    <t>Thôn Suối Chải</t>
  </si>
  <si>
    <t>Thôn Làng Pẳn</t>
  </si>
  <si>
    <t>Thôn Làng Quang</t>
  </si>
  <si>
    <t xml:space="preserve">Thôn Làng Kim </t>
  </si>
  <si>
    <t xml:space="preserve">Thôn Làng San </t>
  </si>
  <si>
    <t>Thôn Làng Toòng</t>
  </si>
  <si>
    <t>Thôn Đồng Quang</t>
  </si>
  <si>
    <t xml:space="preserve">Thôn Tả Trang </t>
  </si>
  <si>
    <t>Thôn Làng Hang</t>
  </si>
  <si>
    <t>Thôn Kim Tiến</t>
  </si>
  <si>
    <t>Thôn An Quang</t>
  </si>
  <si>
    <t>Thôn Vỹ Kẽm</t>
  </si>
  <si>
    <t>Thôn Bản Qua</t>
  </si>
  <si>
    <t>Thôn Bản Vai</t>
  </si>
  <si>
    <t>Thôn Tân Bảo</t>
  </si>
  <si>
    <t>Thôn Bản Vền</t>
  </si>
  <si>
    <t>Thôn Tân Hồng</t>
  </si>
  <si>
    <t>Thôn Coóc Cài</t>
  </si>
  <si>
    <t>Thôn Hải Khê</t>
  </si>
  <si>
    <t>Thôn Vi Phái</t>
  </si>
  <si>
    <t>Thôn Tả Ngảo</t>
  </si>
  <si>
    <t>Thôn Ná Nàm</t>
  </si>
  <si>
    <t>Thôn Km 0</t>
  </si>
  <si>
    <t>Thôn Mường Đơ</t>
  </si>
  <si>
    <t>Thôn Sơn Hà</t>
  </si>
  <si>
    <t>Thôn San Bang</t>
  </si>
  <si>
    <t>Bán trú: 35</t>
  </si>
  <si>
    <t>Trục Ngoài</t>
  </si>
  <si>
    <t>Trục Trong</t>
  </si>
  <si>
    <t>Khe Bút</t>
  </si>
  <si>
    <t>Ngũ Lâm</t>
  </si>
  <si>
    <t>Hợp Lâm</t>
  </si>
  <si>
    <t>Khay Dạo</t>
  </si>
  <si>
    <t>Ngòi Cài</t>
  </si>
  <si>
    <t>Nghĩa Giang</t>
  </si>
  <si>
    <t xml:space="preserve">Thôn Bo </t>
  </si>
  <si>
    <t xml:space="preserve"> Ly </t>
  </si>
  <si>
    <t xml:space="preserve">Nghĩa Dũng </t>
  </si>
  <si>
    <t xml:space="preserve">Thíp Dạo </t>
  </si>
  <si>
    <t xml:space="preserve"> Làng Đam </t>
  </si>
  <si>
    <t xml:space="preserve"> Bùn Dạo </t>
  </si>
  <si>
    <t xml:space="preserve">Liên Sơn </t>
  </si>
  <si>
    <t>(24)</t>
  </si>
  <si>
    <t>Thôn Hạ Lý</t>
  </si>
  <si>
    <t>Thôn Khe Bành</t>
  </si>
  <si>
    <t>Thôn Phát</t>
  </si>
  <si>
    <t>Thôn Pha Trạc</t>
  </si>
  <si>
    <t>Thôn Nhược</t>
  </si>
  <si>
    <t>Thôn Mộ</t>
  </si>
  <si>
    <t>Thôn Trạng Xô</t>
  </si>
  <si>
    <t>Thôn Ngòi Nhầy</t>
  </si>
  <si>
    <t>Thôn Khe Sán</t>
  </si>
  <si>
    <t>Thôn Ao Ếch</t>
  </si>
  <si>
    <t>Thôn Khe  Pháo</t>
  </si>
  <si>
    <t xml:space="preserve">Thôn Ngòi Lẫu </t>
  </si>
  <si>
    <t>(77)</t>
  </si>
  <si>
    <t>Thôn Ta Khuấn</t>
  </si>
  <si>
    <t>Thôn Khe Chấn 1</t>
  </si>
  <si>
    <t>Thôn Khe Nhòi</t>
  </si>
  <si>
    <t>Thôn Khổi Nghè</t>
  </si>
  <si>
    <t>Thôn Khe Phàn</t>
  </si>
  <si>
    <t>Thôn Thác Dây</t>
  </si>
  <si>
    <t>Thôn Tam Đỉnh</t>
  </si>
  <si>
    <t>Thôn Văn Tiến</t>
  </si>
  <si>
    <t>Thôn Bản Noỏng</t>
  </si>
  <si>
    <t>Thôn Nà Thái</t>
  </si>
  <si>
    <t>Thôn Noong Dờn</t>
  </si>
  <si>
    <t>Thôn Nà Lộc 1</t>
  </si>
  <si>
    <t>Thôn Nậm Cọ</t>
  </si>
  <si>
    <t>Thôn Nà Bay</t>
  </si>
  <si>
    <t>Thôn Giàng</t>
  </si>
  <si>
    <t>Thôn Hô Phai</t>
  </si>
  <si>
    <t>Thôn An</t>
  </si>
  <si>
    <t>Thôn Lập Thành</t>
  </si>
  <si>
    <t>Thôn Nậm Bó</t>
  </si>
  <si>
    <t>Thôn Ít Nộc</t>
  </si>
  <si>
    <t>Thôn Làng Mạc</t>
  </si>
  <si>
    <t>Thôn Làng Nòm</t>
  </si>
  <si>
    <t>Thôn Trung Đoàn</t>
  </si>
  <si>
    <t>Thôn Thái Hoà</t>
  </si>
  <si>
    <t>Thôn Nà Lộc 2</t>
  </si>
  <si>
    <t>Thôn Làng Chút</t>
  </si>
  <si>
    <t>Thôn Nà Trang</t>
  </si>
  <si>
    <t>Thôn Bản Coóc</t>
  </si>
  <si>
    <t>Thôn Bản Mạ</t>
  </si>
  <si>
    <t>Thôn Nhẻo</t>
  </si>
  <si>
    <t>Thôn Ngòi Lèn</t>
  </si>
  <si>
    <t>(63)</t>
  </si>
  <si>
    <t>Thôn Tả Thàng</t>
  </si>
  <si>
    <t>Thôn Sú Dí Phìn</t>
  </si>
  <si>
    <t>Thôn Lầu Thí Chải</t>
  </si>
  <si>
    <t>Thôn Bản phố</t>
  </si>
  <si>
    <t>Thôn Páo Máo Phìn A</t>
  </si>
  <si>
    <t>Thôn Páo Máo Phìn B</t>
  </si>
  <si>
    <t>Thôn Cán Cấu 1</t>
  </si>
  <si>
    <t>Thôn  Cán Cấu 2</t>
  </si>
  <si>
    <t>Thôn Cu Ty Chải</t>
  </si>
  <si>
    <t>Thôn La Pan Tẩn</t>
  </si>
  <si>
    <t>Thôn Ma Cai Thàng</t>
  </si>
  <si>
    <t>Thôn Tỉn Thàng</t>
  </si>
  <si>
    <t>Thôn Bãi Bằng</t>
  </si>
  <si>
    <t>Thôn Mường Lum</t>
  </si>
  <si>
    <t>Thôn Sà San</t>
  </si>
  <si>
    <t>Thôn Pa Cheo phìn A</t>
  </si>
  <si>
    <t>Thôn Pa Cheo phìn B</t>
  </si>
  <si>
    <t>Thôn Lùng Chéng Nùng</t>
  </si>
  <si>
    <t>Thôn Sảng Lùng Chéng</t>
  </si>
  <si>
    <t>Thôn Sả Lùng Chéng</t>
  </si>
  <si>
    <t>Thôn Na Vang</t>
  </si>
  <si>
    <t>Thôn Na Cạp</t>
  </si>
  <si>
    <t>Thôn Nậm Đó</t>
  </si>
  <si>
    <t>Thôn Lùng Khấu Nhin</t>
  </si>
  <si>
    <t xml:space="preserve">Thôn Sín Lùng Chải </t>
  </si>
  <si>
    <t>Thôn Thải Giàng Chải</t>
  </si>
  <si>
    <t>Thôn Chu Lìn Phố</t>
  </si>
  <si>
    <t>Thôn Ma Ngán B</t>
  </si>
  <si>
    <t xml:space="preserve">Thôn Ma Ngán </t>
  </si>
  <si>
    <t>Bán trú: 64,05</t>
  </si>
  <si>
    <t>(66)</t>
  </si>
  <si>
    <t>Thôn Dền Thàng 1</t>
  </si>
  <si>
    <t>Thôn Tả Phìn</t>
  </si>
  <si>
    <t>Thôn Dền Thàng 2</t>
  </si>
  <si>
    <t>Thôn Dền Sáng</t>
  </si>
  <si>
    <t>Thôn Nậm Giàng</t>
  </si>
  <si>
    <t>Thôn Ngải Trồ</t>
  </si>
  <si>
    <t>Thôn Nậm Pẻn 2</t>
  </si>
  <si>
    <t>Thôn Sàng Ma Sáo</t>
  </si>
  <si>
    <t>Thôn Khu Chu Phìn</t>
  </si>
  <si>
    <t>Thôn Nậm Pẻn 1</t>
  </si>
  <si>
    <t>Thôn Mà Mù Sử 1</t>
  </si>
  <si>
    <t>Thôn Mà Mù Sử 2</t>
  </si>
  <si>
    <t xml:space="preserve">Thôn Nhìu Cù San </t>
  </si>
  <si>
    <t>Bán trú: 46,3</t>
  </si>
  <si>
    <t>KẾT QUẢ RÀ SOÁT CỦA CÁC XÃ, PHƯỜNG</t>
  </si>
  <si>
    <t>Ghi chú</t>
  </si>
  <si>
    <t>Tên thôn, tổ dân phố, phun, sóc…</t>
  </si>
  <si>
    <t>KẾT QUẢ THẨM ĐỊNH CỦA SỞ, NGÀNH</t>
  </si>
  <si>
    <t>Sả Hồ</t>
  </si>
  <si>
    <t>Choán Ván</t>
  </si>
  <si>
    <t>Sín Chải -TB</t>
  </si>
  <si>
    <t>Lao Chải -NC</t>
  </si>
  <si>
    <t>Sín Chải -NC</t>
  </si>
  <si>
    <t>Lao Chải -MK</t>
  </si>
  <si>
    <t>Bán trú: 73,1</t>
  </si>
  <si>
    <t>Thôn 14</t>
  </si>
  <si>
    <t>Bán trú: 66,07</t>
  </si>
  <si>
    <t>Bán trú: 98,8</t>
  </si>
  <si>
    <t>96.88</t>
  </si>
  <si>
    <t>Bán trú: 44</t>
  </si>
  <si>
    <t xml:space="preserve"> Thôn Khánh Trong</t>
  </si>
  <si>
    <t>Thôn Khánh Trung</t>
  </si>
  <si>
    <t>Thôn Khánh Ngoài</t>
  </si>
  <si>
    <t>Thôn Khau Nàng</t>
  </si>
  <si>
    <t>Thôn Nà Mác</t>
  </si>
  <si>
    <t>Thôn Giáp Cang</t>
  </si>
  <si>
    <t>Thôn Giáp Luồng</t>
  </si>
  <si>
    <t>Thôn São</t>
  </si>
  <si>
    <t>Thôn Xiêng 1</t>
  </si>
  <si>
    <t>Thôn Xiêng 2</t>
  </si>
  <si>
    <t>ThônAo Sen Lũng</t>
  </si>
  <si>
    <t>Thôn Úc</t>
  </si>
  <si>
    <t>Thôn Cát</t>
  </si>
  <si>
    <t>Thôn Hạ Giang</t>
  </si>
  <si>
    <t>Thôn Năn Kè</t>
  </si>
  <si>
    <t>Thôn Rầu Chang</t>
  </si>
  <si>
    <t>Thôn Thủy Văn</t>
  </si>
  <si>
    <t>Thôn Hốc Xả</t>
  </si>
  <si>
    <t>Thôn Ro</t>
  </si>
  <si>
    <t>79.86</t>
  </si>
  <si>
    <t>Bán trú: 81,99</t>
  </si>
  <si>
    <t>Thôn Kiến Thịnh 2</t>
  </si>
  <si>
    <t>Thôn Vũ Thịnh</t>
  </si>
  <si>
    <t>Thôn Ao Lay</t>
  </si>
  <si>
    <t>Bán trú: 44,1</t>
  </si>
  <si>
    <t>Bán trú: 91,69</t>
  </si>
  <si>
    <t>Bán trú: 40,04</t>
  </si>
  <si>
    <t>6 (Y Tế)</t>
  </si>
  <si>
    <t>12 (Y Tế)</t>
  </si>
  <si>
    <r>
      <t>BIỂU RÀ SOÁT PHÂN ĐỊNH XÃ THEO TRÌNH ĐỘ PHÁT TRIỂN (XÃ KHU VỰC I, II, III)
(</t>
    </r>
    <r>
      <rPr>
        <i/>
        <sz val="11"/>
        <rFont val="Times New Roman"/>
        <family val="1"/>
      </rPr>
      <t>Kèm theo Văn bản số             /SDTTG-KHTH ngày       tháng 12 năm 2025 của Sở Dân tộc và Tôn giáo tỉnh Lào Cai)</t>
    </r>
  </si>
  <si>
    <r>
      <t>Ghi chú:</t>
    </r>
    <r>
      <rPr>
        <sz val="11"/>
        <rFont val="Times New Roman"/>
        <family val="1"/>
      </rPr>
      <t> Tiêu chí tương ứng</t>
    </r>
  </si>
  <si>
    <r>
      <t xml:space="preserve">BIỂU RÀ SOÁT PHÂN ĐỊNH THÔN ĐẶC BIỆT KHÓ KHĂN
</t>
    </r>
    <r>
      <rPr>
        <i/>
        <sz val="11"/>
        <rFont val="Times New Roman"/>
        <family val="1"/>
      </rPr>
      <t>(Kèm theo Văn bản số             /SDTTG-KHTH ngày       tháng 12 năm 2025 của Sở Dân tộc và Tôn giáo tỉnh Lào Cai)</t>
    </r>
  </si>
  <si>
    <t>Do tăng tỷ lệ điện sau thẩm định của Sở Công thương</t>
  </si>
  <si>
    <t>Giảm 6/8 thôn ĐBKK</t>
  </si>
  <si>
    <t>Giảm 3/6 thôn ĐBKK</t>
  </si>
  <si>
    <t>Giảm 2/4 thôn ĐBKK</t>
  </si>
  <si>
    <t>Giảm 3/9 thôn ĐBKK</t>
  </si>
  <si>
    <t>Do giảm tỷ lệ điện sau thẩm định của Sở Công thương</t>
  </si>
  <si>
    <t>Tăng 9 thôn ĐBKK. Giảm 3 thôn ĐBKK</t>
  </si>
  <si>
    <t>Giảm 4/15 thôn ĐBKK</t>
  </si>
  <si>
    <t>Giảm 1/12 thôn ĐBKK</t>
  </si>
  <si>
    <t>Giảm 3, Tăng 2 thôn ĐBKK</t>
  </si>
  <si>
    <t>Giảm 10/16 thôn ĐBKK</t>
  </si>
  <si>
    <t>Giảm 2/21 thôn ĐBKK</t>
  </si>
  <si>
    <t>Giảm 1/7 thôn ĐBKK</t>
  </si>
  <si>
    <t>Tăng 1 thôn ĐBKK</t>
  </si>
  <si>
    <t>Giảm 6/19 thôn ĐBKK</t>
  </si>
  <si>
    <t>Tăng 4 thôn ĐBKK</t>
  </si>
  <si>
    <t>Giảm 2/20 thôn ĐBKK</t>
  </si>
  <si>
    <t>Giảm 4/9 thôn ĐBKK</t>
  </si>
  <si>
    <t>Giảm 1/3 thôn ĐBKK</t>
  </si>
  <si>
    <t>Giảm 1/2 thôn ĐBKK</t>
  </si>
  <si>
    <t>Giảm 1/20 thôn ĐBKK</t>
  </si>
  <si>
    <t>Giảm 1/18 thôn ĐBKK</t>
  </si>
  <si>
    <t>Giảm 1/17 thôn ĐBKK</t>
  </si>
  <si>
    <t>THEO DÕI SỐ THÔN ĐBKK TĂNG GIẢM SAU THẨM ĐỊNH CỦA CÁC SỞ SO VỚI BÁO CÁO RÀ SOÁT CỦA ĐỊA PHƯƠNG</t>
  </si>
  <si>
    <t>Do giảm tỷ lệ đường giao thông sau thẩm định của Sở Xây dựng</t>
  </si>
  <si>
    <t>Tăng 2 thôn, giảm 6 thôn ĐBKK</t>
  </si>
  <si>
    <t>Do tăng tỷ lệ đường giao thông sau thẩm định của Sở Xây dựng</t>
  </si>
  <si>
    <t>Tăng 27/33 thôn ĐBKK</t>
  </si>
  <si>
    <t>Tăng 03 thôn ĐBKK</t>
  </si>
  <si>
    <t>Bán trú: 40,5</t>
  </si>
  <si>
    <t>Nội trú: 59,6; Bán trú: 17,8</t>
  </si>
  <si>
    <t>Bán trú: 13,2</t>
  </si>
  <si>
    <t>Bán trú: 24,6</t>
  </si>
  <si>
    <t>Bán trú: 28,5</t>
  </si>
  <si>
    <t>Bán trú: 35,6</t>
  </si>
  <si>
    <t>Bán trú: 36,15</t>
  </si>
  <si>
    <t>Bán trú: 42,1</t>
  </si>
  <si>
    <t>Bán trú: 27,6</t>
  </si>
  <si>
    <t>Bán trú: 57</t>
  </si>
  <si>
    <t>Bán trú:  34,5</t>
  </si>
  <si>
    <t>Bán trú: 35,3</t>
  </si>
  <si>
    <t>Bán trú: 42,75</t>
  </si>
  <si>
    <t>Không có trường nội trú bán trú</t>
  </si>
  <si>
    <t>Nội trú: 75,7</t>
  </si>
  <si>
    <t>Bán trú: 38,5</t>
  </si>
  <si>
    <t>Nội trú: 71,5
Bán trú: 0</t>
  </si>
  <si>
    <t>Nội trú: 100</t>
  </si>
  <si>
    <t>Bán trú: 25,5</t>
  </si>
  <si>
    <t>Nội trú: 87,5 Bán trú: 29,7</t>
  </si>
  <si>
    <t>Bán trú: 30,1</t>
  </si>
  <si>
    <t>Bán trú: 33,9</t>
  </si>
  <si>
    <t>Bán trú: 39,3</t>
  </si>
  <si>
    <t>Nội trú: 100
Bán trú: 45,04</t>
  </si>
  <si>
    <t>Bán trú: 42,2</t>
  </si>
  <si>
    <t>Bán trú: 73,46
Nội trú: 100</t>
  </si>
  <si>
    <t>Bán trú:  31,3</t>
  </si>
  <si>
    <t>Bán trú: 42,8</t>
  </si>
  <si>
    <t>Bán trú: 34,1</t>
  </si>
  <si>
    <t>Bán trú: 32,7</t>
  </si>
  <si>
    <t>Bán trú: 23,3</t>
  </si>
  <si>
    <t>Bán trú: 34,09</t>
  </si>
  <si>
    <t>Bán trú: 39,8</t>
  </si>
  <si>
    <t>Bán trú: 14,9</t>
  </si>
  <si>
    <t>Bán trú: 34,8</t>
  </si>
  <si>
    <t>Bán trú: 29,5</t>
  </si>
  <si>
    <t>Nội trú: 100
Bán trú: 55,9</t>
  </si>
  <si>
    <t>Bán trú:  39,8</t>
  </si>
  <si>
    <t>Bán trú: 49,1
Nội trú 100</t>
  </si>
  <si>
    <t>Bán trú: 57,85</t>
  </si>
  <si>
    <t>Bán trú: 48,7</t>
  </si>
  <si>
    <t>Bán trú: 40,15</t>
  </si>
  <si>
    <t>Nội trú: 100; Bán trú: 28,03</t>
  </si>
  <si>
    <t>Bán trú: 35,5</t>
  </si>
  <si>
    <t>Bán trú: 18,01</t>
  </si>
  <si>
    <t>Bán trú: 58,05
Nội trú: 100</t>
  </si>
  <si>
    <t>Bán trú: 35,35</t>
  </si>
  <si>
    <t>Bán trú: 32,58</t>
  </si>
  <si>
    <t>Bán trú: 25,1</t>
  </si>
  <si>
    <t>Bán trú: 31,6</t>
  </si>
  <si>
    <t>Nội trú: 65,25; Bán trú: 18,09</t>
  </si>
  <si>
    <t xml:space="preserve">Nội trú: 55 </t>
  </si>
  <si>
    <t>Nôị trú: 100;
Bán trú: 53,8</t>
  </si>
  <si>
    <t>Nội trú: 82,5</t>
  </si>
  <si>
    <t>Bán trú: 33,8</t>
  </si>
  <si>
    <t>4 thôn của phường Văn Phú; 4 thôn của phường Yên Bái</t>
  </si>
  <si>
    <t>(Kèm theo Tờ trình số             /TTr-SDTTG ngày       tháng 12 năm 2025 của Sở Dân tộc và Tôn giáo tỉnh Lào Cai)</t>
  </si>
  <si>
    <t>TỔNG CỘNG</t>
  </si>
  <si>
    <t>CHI TIẾT CÁC XÃ</t>
  </si>
  <si>
    <t>(Kèm theo Tờ trình số      /TTr-UBND ngày    tháng   năm 2026 của UBND tỉnh Lào Cai</t>
  </si>
  <si>
    <t>Năm 2026</t>
  </si>
  <si>
    <t>Năm 2027</t>
  </si>
  <si>
    <t>Năm 2028</t>
  </si>
  <si>
    <t>Năm 2029</t>
  </si>
  <si>
    <t>Năm 2030</t>
  </si>
  <si>
    <t>ĐVT: Tỷ đồng</t>
  </si>
  <si>
    <t>Cộng giai đoạn 2026-2030</t>
  </si>
  <si>
    <t>DỰ TOÁN KINH PHÍ UỶ THÁC QUA NHCSXH, GIAI ĐOẠN 2026-2030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</si>
</sst>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0.0"/>
    <numFmt numFmtId="165" formatCode="_-* #,##0.00\ _₫_-;\-* #,##0.00\ _₫_-;_-* &quot;-&quot;??\ _₫_-;_-@_-"/>
    <numFmt numFmtId="166" formatCode="00000"/>
    <numFmt numFmtId="167" formatCode="#,##0;[Red]#,##0"/>
  </numFmts>
  <fonts count="29" x14ac:knownFonts="1">
    <font>
      <sz val="12"/>
      <color theme="1"/>
      <name val="Times New Roman"/>
      <family val="2"/>
    </font>
    <font>
      <sz val="12"/>
      <name val="Times New Roman"/>
      <family val="1"/>
    </font>
    <font>
      <b/>
      <sz val="14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MS Sans Serif"/>
      <family val="2"/>
    </font>
    <font>
      <sz val="11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sz val="11"/>
      <color indexed="64"/>
      <name val="Calibri"/>
      <family val="2"/>
    </font>
    <font>
      <i/>
      <sz val="10"/>
      <name val="Times New Roman"/>
      <family val="1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2"/>
      <charset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Times New Roman"/>
      <family val="1"/>
    </font>
    <font>
      <b/>
      <sz val="14"/>
      <color rgb="FFFF0000"/>
      <name val="Times New Roman"/>
      <family val="1"/>
    </font>
    <font>
      <sz val="12"/>
      <color rgb="FFFFFFFF"/>
      <name val="Times New Roman"/>
      <family val="1"/>
    </font>
    <font>
      <sz val="8"/>
      <name val="Times New Roman"/>
      <family val="2"/>
    </font>
    <font>
      <i/>
      <sz val="14"/>
      <name val="Times New Roman"/>
      <family val="1"/>
      <charset val="163"/>
    </font>
    <font>
      <b/>
      <sz val="14"/>
      <name val="Times New Roman"/>
      <family val="1"/>
      <charset val="163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0" fontId="13" fillId="0" borderId="0"/>
    <xf numFmtId="0" fontId="13" fillId="0" borderId="0"/>
    <xf numFmtId="0" fontId="1" fillId="0" borderId="0"/>
    <xf numFmtId="43" fontId="12" fillId="0" borderId="0" applyFont="0" applyFill="0" applyBorder="0" applyAlignment="0" applyProtection="0"/>
    <xf numFmtId="165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9" fillId="0" borderId="0"/>
    <xf numFmtId="0" fontId="16" fillId="0" borderId="0"/>
    <xf numFmtId="41" fontId="12" fillId="0" borderId="0" applyFont="0" applyFill="0" applyBorder="0" applyAlignment="0" applyProtection="0"/>
  </cellStyleXfs>
  <cellXfs count="228">
    <xf numFmtId="0" fontId="0" fillId="0" borderId="0" xfId="0"/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 applyProtection="1">
      <alignment vertical="center" wrapText="1"/>
      <protection locked="0"/>
    </xf>
    <xf numFmtId="0" fontId="8" fillId="3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16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164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8" fillId="2" borderId="1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0" applyFont="1" applyFill="1" applyBorder="1" applyAlignment="1" applyProtection="1">
      <alignment vertical="center" wrapText="1"/>
      <protection locked="0"/>
    </xf>
    <xf numFmtId="0" fontId="8" fillId="5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6" fillId="2" borderId="0" xfId="0" applyFont="1" applyFill="1" applyAlignment="1" applyProtection="1">
      <alignment vertical="center" wrapText="1"/>
      <protection locked="0"/>
    </xf>
    <xf numFmtId="0" fontId="6" fillId="0" borderId="0" xfId="0" applyFont="1" applyAlignment="1">
      <alignment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 applyProtection="1">
      <alignment vertical="center"/>
      <protection locked="0"/>
    </xf>
    <xf numFmtId="2" fontId="8" fillId="2" borderId="0" xfId="0" applyNumberFormat="1" applyFont="1" applyFill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8" fillId="2" borderId="0" xfId="0" applyFont="1" applyFill="1" applyAlignment="1" applyProtection="1">
      <alignment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left" vertical="center" wrapText="1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19" fillId="3" borderId="1" xfId="0" applyFont="1" applyFill="1" applyBorder="1" applyAlignment="1" applyProtection="1">
      <alignment horizontal="center" vertical="center" wrapText="1"/>
      <protection locked="0"/>
    </xf>
    <xf numFmtId="166" fontId="6" fillId="0" borderId="1" xfId="0" applyNumberFormat="1" applyFont="1" applyBorder="1" applyAlignment="1" applyProtection="1">
      <alignment horizontal="left" vertical="center" wrapText="1"/>
      <protection locked="0"/>
    </xf>
    <xf numFmtId="0" fontId="18" fillId="2" borderId="1" xfId="0" applyFont="1" applyFill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164" fontId="18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2" borderId="0" xfId="0" applyFont="1" applyFill="1" applyAlignment="1" applyProtection="1">
      <alignment vertical="center"/>
      <protection locked="0"/>
    </xf>
    <xf numFmtId="2" fontId="6" fillId="2" borderId="0" xfId="0" applyNumberFormat="1" applyFont="1" applyFill="1" applyAlignment="1" applyProtection="1">
      <alignment vertical="center"/>
      <protection locked="0"/>
    </xf>
    <xf numFmtId="0" fontId="6" fillId="3" borderId="1" xfId="0" applyFont="1" applyFill="1" applyBorder="1" applyAlignment="1" applyProtection="1">
      <alignment vertical="center" wrapText="1"/>
      <protection locked="0"/>
    </xf>
    <xf numFmtId="0" fontId="6" fillId="6" borderId="1" xfId="0" applyFont="1" applyFill="1" applyBorder="1" applyAlignment="1" applyProtection="1">
      <alignment vertical="center" wrapText="1"/>
      <protection locked="0"/>
    </xf>
    <xf numFmtId="0" fontId="18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left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6" borderId="1" xfId="0" quotePrefix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2" fontId="6" fillId="6" borderId="0" xfId="0" applyNumberFormat="1" applyFont="1" applyFill="1" applyAlignment="1" applyProtection="1">
      <alignment vertical="center"/>
      <protection locked="0"/>
    </xf>
    <xf numFmtId="0" fontId="6" fillId="6" borderId="0" xfId="0" applyFont="1" applyFill="1" applyAlignment="1" applyProtection="1">
      <alignment vertical="center"/>
      <protection locked="0"/>
    </xf>
    <xf numFmtId="0" fontId="6" fillId="2" borderId="1" xfId="0" quotePrefix="1" applyFont="1" applyFill="1" applyBorder="1" applyAlignment="1">
      <alignment horizontal="center" vertical="center"/>
    </xf>
    <xf numFmtId="164" fontId="18" fillId="0" borderId="1" xfId="0" applyNumberFormat="1" applyFont="1" applyBorder="1" applyAlignment="1">
      <alignment horizontal="center" vertical="center" wrapText="1"/>
    </xf>
    <xf numFmtId="2" fontId="18" fillId="0" borderId="1" xfId="0" applyNumberFormat="1" applyFont="1" applyBorder="1" applyAlignment="1" applyProtection="1">
      <alignment vertical="center" wrapText="1"/>
      <protection locked="0"/>
    </xf>
    <xf numFmtId="164" fontId="18" fillId="0" borderId="1" xfId="0" applyNumberFormat="1" applyFont="1" applyBorder="1" applyAlignment="1" applyProtection="1">
      <alignment vertical="center" wrapText="1"/>
      <protection locked="0"/>
    </xf>
    <xf numFmtId="49" fontId="8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left" vertical="center" wrapText="1"/>
      <protection locked="0"/>
    </xf>
    <xf numFmtId="0" fontId="8" fillId="7" borderId="1" xfId="0" applyFont="1" applyFill="1" applyBorder="1" applyAlignment="1" applyProtection="1">
      <alignment vertical="center" wrapText="1"/>
      <protection locked="0"/>
    </xf>
    <xf numFmtId="0" fontId="8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 applyProtection="1">
      <alignment horizontal="left" vertical="center" wrapText="1"/>
      <protection locked="0"/>
    </xf>
    <xf numFmtId="0" fontId="6" fillId="7" borderId="1" xfId="0" applyFont="1" applyFill="1" applyBorder="1" applyAlignment="1" applyProtection="1">
      <alignment vertical="center" wrapText="1"/>
      <protection locked="0"/>
    </xf>
    <xf numFmtId="0" fontId="6" fillId="7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>
      <alignment horizontal="left" vertical="center" wrapText="1"/>
    </xf>
    <xf numFmtId="0" fontId="6" fillId="7" borderId="1" xfId="0" quotePrefix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2" fontId="6" fillId="7" borderId="0" xfId="0" applyNumberFormat="1" applyFont="1" applyFill="1" applyAlignment="1" applyProtection="1">
      <alignment vertical="center"/>
      <protection locked="0"/>
    </xf>
    <xf numFmtId="0" fontId="6" fillId="7" borderId="0" xfId="0" applyFont="1" applyFill="1" applyAlignment="1" applyProtection="1">
      <alignment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2" fontId="18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49" fontId="18" fillId="0" borderId="1" xfId="0" applyNumberFormat="1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3" borderId="0" xfId="0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2" fontId="6" fillId="0" borderId="1" xfId="0" applyNumberFormat="1" applyFont="1" applyBorder="1" applyAlignment="1" applyProtection="1">
      <alignment vertical="center" wrapText="1"/>
      <protection locked="0"/>
    </xf>
    <xf numFmtId="164" fontId="6" fillId="0" borderId="1" xfId="0" applyNumberFormat="1" applyFont="1" applyBorder="1" applyAlignment="1" applyProtection="1">
      <alignment vertical="center" wrapText="1"/>
      <protection locked="0"/>
    </xf>
    <xf numFmtId="2" fontId="6" fillId="5" borderId="1" xfId="0" applyNumberFormat="1" applyFont="1" applyFill="1" applyBorder="1" applyAlignment="1" applyProtection="1">
      <alignment vertical="center" wrapText="1"/>
      <protection locked="0"/>
    </xf>
    <xf numFmtId="164" fontId="6" fillId="5" borderId="1" xfId="0" applyNumberFormat="1" applyFont="1" applyFill="1" applyBorder="1" applyAlignment="1" applyProtection="1">
      <alignment vertical="center" wrapText="1"/>
      <protection locked="0"/>
    </xf>
    <xf numFmtId="0" fontId="23" fillId="5" borderId="0" xfId="0" applyFont="1" applyFill="1" applyAlignment="1" applyProtection="1">
      <alignment vertical="center"/>
      <protection locked="0"/>
    </xf>
    <xf numFmtId="2" fontId="6" fillId="3" borderId="1" xfId="0" applyNumberFormat="1" applyFont="1" applyFill="1" applyBorder="1" applyAlignment="1" applyProtection="1">
      <alignment vertical="center" wrapText="1"/>
      <protection locked="0"/>
    </xf>
    <xf numFmtId="164" fontId="6" fillId="3" borderId="1" xfId="0" applyNumberFormat="1" applyFont="1" applyFill="1" applyBorder="1" applyAlignment="1" applyProtection="1">
      <alignment vertical="center" wrapText="1"/>
      <protection locked="0"/>
    </xf>
    <xf numFmtId="0" fontId="8" fillId="3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2" fontId="6" fillId="7" borderId="1" xfId="0" applyNumberFormat="1" applyFont="1" applyFill="1" applyBorder="1" applyAlignment="1" applyProtection="1">
      <alignment vertical="center" wrapText="1"/>
      <protection locked="0"/>
    </xf>
    <xf numFmtId="164" fontId="6" fillId="7" borderId="1" xfId="0" applyNumberFormat="1" applyFont="1" applyFill="1" applyBorder="1" applyAlignment="1" applyProtection="1">
      <alignment vertical="center" wrapText="1"/>
      <protection locked="0"/>
    </xf>
    <xf numFmtId="0" fontId="23" fillId="7" borderId="0" xfId="0" applyFont="1" applyFill="1" applyAlignment="1" applyProtection="1">
      <alignment vertical="center"/>
      <protection locked="0"/>
    </xf>
    <xf numFmtId="0" fontId="1" fillId="0" borderId="1" xfId="0" applyFont="1" applyBorder="1" applyAlignment="1">
      <alignment horizontal="center" wrapText="1"/>
    </xf>
    <xf numFmtId="0" fontId="6" fillId="0" borderId="6" xfId="0" applyFont="1" applyBorder="1" applyAlignment="1">
      <alignment horizontal="right"/>
    </xf>
    <xf numFmtId="167" fontId="1" fillId="0" borderId="4" xfId="17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6" fillId="0" borderId="1" xfId="0" applyFont="1" applyBorder="1" applyAlignment="1">
      <alignment horizontal="right" vertical="center" wrapText="1"/>
    </xf>
    <xf numFmtId="4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2" fontId="18" fillId="0" borderId="1" xfId="0" applyNumberFormat="1" applyFont="1" applyBorder="1" applyAlignment="1">
      <alignment vertical="center" wrapText="1"/>
    </xf>
    <xf numFmtId="164" fontId="24" fillId="8" borderId="1" xfId="0" applyNumberFormat="1" applyFont="1" applyFill="1" applyBorder="1" applyAlignment="1" applyProtection="1">
      <alignment vertical="center" wrapText="1"/>
      <protection locked="0"/>
    </xf>
    <xf numFmtId="0" fontId="18" fillId="0" borderId="6" xfId="0" applyFont="1" applyBorder="1" applyAlignment="1">
      <alignment horizontal="right" vertical="center"/>
    </xf>
    <xf numFmtId="164" fontId="8" fillId="8" borderId="1" xfId="0" applyNumberFormat="1" applyFont="1" applyFill="1" applyBorder="1" applyAlignment="1" applyProtection="1">
      <alignment vertical="center" wrapText="1"/>
      <protection locked="0"/>
    </xf>
    <xf numFmtId="164" fontId="2" fillId="8" borderId="1" xfId="0" applyNumberFormat="1" applyFont="1" applyFill="1" applyBorder="1" applyAlignment="1" applyProtection="1">
      <alignment vertical="center" wrapText="1"/>
      <protection locked="0"/>
    </xf>
    <xf numFmtId="2" fontId="8" fillId="5" borderId="1" xfId="0" applyNumberFormat="1" applyFont="1" applyFill="1" applyBorder="1" applyAlignment="1" applyProtection="1">
      <alignment vertical="center" wrapText="1"/>
      <protection locked="0"/>
    </xf>
    <xf numFmtId="164" fontId="8" fillId="5" borderId="1" xfId="0" applyNumberFormat="1" applyFont="1" applyFill="1" applyBorder="1" applyAlignment="1" applyProtection="1">
      <alignment vertical="center" wrapText="1"/>
      <protection locked="0"/>
    </xf>
    <xf numFmtId="2" fontId="6" fillId="2" borderId="1" xfId="0" applyNumberFormat="1" applyFont="1" applyFill="1" applyBorder="1" applyAlignment="1">
      <alignment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 applyProtection="1">
      <alignment vertical="center" wrapText="1"/>
      <protection locked="0"/>
    </xf>
    <xf numFmtId="164" fontId="6" fillId="2" borderId="1" xfId="0" applyNumberFormat="1" applyFont="1" applyFill="1" applyBorder="1" applyAlignment="1" applyProtection="1">
      <alignment vertical="center" wrapText="1"/>
      <protection locked="0"/>
    </xf>
    <xf numFmtId="0" fontId="23" fillId="2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49" fontId="1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 applyProtection="1">
      <alignment horizontal="left" vertical="center" wrapText="1"/>
      <protection locked="0"/>
    </xf>
    <xf numFmtId="2" fontId="18" fillId="2" borderId="1" xfId="0" applyNumberFormat="1" applyFont="1" applyFill="1" applyBorder="1" applyAlignment="1">
      <alignment vertical="center" wrapText="1"/>
    </xf>
    <xf numFmtId="2" fontId="18" fillId="2" borderId="1" xfId="0" applyNumberFormat="1" applyFont="1" applyFill="1" applyBorder="1" applyAlignment="1">
      <alignment horizontal="center" vertical="center" wrapText="1"/>
    </xf>
    <xf numFmtId="2" fontId="18" fillId="2" borderId="1" xfId="0" applyNumberFormat="1" applyFont="1" applyFill="1" applyBorder="1" applyAlignment="1" applyProtection="1">
      <alignment vertical="center" wrapText="1"/>
      <protection locked="0"/>
    </xf>
    <xf numFmtId="164" fontId="18" fillId="2" borderId="1" xfId="0" applyNumberFormat="1" applyFont="1" applyFill="1" applyBorder="1" applyAlignment="1" applyProtection="1">
      <alignment vertical="center" wrapText="1"/>
      <protection locked="0"/>
    </xf>
    <xf numFmtId="0" fontId="20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7" fillId="7" borderId="0" xfId="0" applyFont="1" applyFill="1" applyAlignment="1" applyProtection="1">
      <alignment vertical="center"/>
      <protection locked="0"/>
    </xf>
    <xf numFmtId="2" fontId="8" fillId="9" borderId="1" xfId="0" applyNumberFormat="1" applyFont="1" applyFill="1" applyBorder="1" applyAlignment="1">
      <alignment horizontal="center" vertical="center" wrapText="1"/>
    </xf>
    <xf numFmtId="2" fontId="19" fillId="9" borderId="1" xfId="0" applyNumberFormat="1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18" fillId="3" borderId="0" xfId="0" applyFont="1" applyFill="1" applyAlignment="1" applyProtection="1">
      <alignment horizontal="center" vertical="center" wrapText="1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18" fillId="7" borderId="1" xfId="0" applyFont="1" applyFill="1" applyBorder="1" applyAlignment="1" applyProtection="1">
      <alignment horizontal="center" vertical="center" wrapText="1"/>
      <protection locked="0"/>
    </xf>
    <xf numFmtId="0" fontId="18" fillId="6" borderId="1" xfId="0" applyFont="1" applyFill="1" applyBorder="1" applyAlignment="1" applyProtection="1">
      <alignment horizontal="center" vertical="center" wrapText="1"/>
      <protection locked="0"/>
    </xf>
    <xf numFmtId="0" fontId="18" fillId="3" borderId="0" xfId="0" applyFont="1" applyFill="1" applyAlignment="1" applyProtection="1">
      <alignment horizontal="center" vertical="center"/>
      <protection locked="0"/>
    </xf>
    <xf numFmtId="2" fontId="18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8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18" fillId="7" borderId="1" xfId="0" applyNumberFormat="1" applyFont="1" applyFill="1" applyBorder="1" applyAlignment="1" applyProtection="1">
      <alignment horizontal="center" vertical="center" wrapText="1"/>
      <protection locked="0"/>
    </xf>
    <xf numFmtId="164" fontId="18" fillId="7" borderId="1" xfId="0" applyNumberFormat="1" applyFont="1" applyFill="1" applyBorder="1" applyAlignment="1" applyProtection="1">
      <alignment horizontal="center" vertical="center" wrapText="1"/>
      <protection locked="0"/>
    </xf>
    <xf numFmtId="2" fontId="18" fillId="6" borderId="1" xfId="0" applyNumberFormat="1" applyFont="1" applyFill="1" applyBorder="1" applyAlignment="1" applyProtection="1">
      <alignment horizontal="center" vertical="center" wrapText="1"/>
      <protection locked="0"/>
    </xf>
    <xf numFmtId="164" fontId="18" fillId="6" borderId="1" xfId="0" applyNumberFormat="1" applyFont="1" applyFill="1" applyBorder="1" applyAlignment="1" applyProtection="1">
      <alignment horizontal="center" vertical="center" wrapText="1"/>
      <protection locked="0"/>
    </xf>
    <xf numFmtId="2" fontId="18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9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41" fontId="25" fillId="2" borderId="0" xfId="0" applyNumberFormat="1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left" vertical="center" wrapText="1"/>
      <protection locked="0"/>
    </xf>
    <xf numFmtId="41" fontId="1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left" vertical="center" wrapText="1"/>
      <protection locked="0"/>
    </xf>
    <xf numFmtId="41" fontId="1" fillId="2" borderId="8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 applyProtection="1">
      <alignment horizontal="left" vertical="center"/>
      <protection locked="0"/>
    </xf>
    <xf numFmtId="41" fontId="1" fillId="2" borderId="8" xfId="0" applyNumberFormat="1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41" fontId="1" fillId="0" borderId="8" xfId="0" applyNumberFormat="1" applyFont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left" vertical="center"/>
      <protection locked="0"/>
    </xf>
    <xf numFmtId="41" fontId="1" fillId="2" borderId="9" xfId="0" applyNumberFormat="1" applyFont="1" applyFill="1" applyBorder="1" applyAlignment="1">
      <alignment horizontal="center" vertical="center" wrapText="1"/>
    </xf>
    <xf numFmtId="41" fontId="1" fillId="2" borderId="9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9" fillId="2" borderId="0" xfId="0" applyFont="1" applyFill="1" applyAlignment="1">
      <alignment vertical="center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2" fillId="4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>
      <alignment horizontal="center" vertical="center" wrapText="1"/>
    </xf>
    <xf numFmtId="0" fontId="22" fillId="2" borderId="0" xfId="0" applyFont="1" applyFill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18">
    <cellStyle name="Bình thường 2" xfId="1" xr:uid="{763D10E8-2276-437B-B43B-F03258B7A0FA}"/>
    <cellStyle name="Chuẩn 2" xfId="2" xr:uid="{3831D35A-D3B4-416C-85E1-59388B6A505A}"/>
    <cellStyle name="Chuẩn 3 2" xfId="3" xr:uid="{18853A87-2FD2-4383-82EC-7B7352F6625C}"/>
    <cellStyle name="Comma [0]" xfId="17" builtinId="6"/>
    <cellStyle name="Comma 2" xfId="4" xr:uid="{4B40D3B7-46E7-4973-8988-537EEBDD14AE}"/>
    <cellStyle name="Comma 4" xfId="5" xr:uid="{94E3A5E2-C1B4-42FB-B5C9-009D7D722A03}"/>
    <cellStyle name="Ledger 17 x 11 in" xfId="6" xr:uid="{1616C175-2BB3-40E2-B2E7-00FB2F00D116}"/>
    <cellStyle name="Ledger 17 x 11 in 2" xfId="7" xr:uid="{DBB1AFE1-8372-4D43-94D2-6858903187DB}"/>
    <cellStyle name="Ledger 17 x 11 in 2 2" xfId="8" xr:uid="{1769BBE6-2689-4CAA-BC90-26E998B11A75}"/>
    <cellStyle name="Ledger 17 x 11 in 3" xfId="9" xr:uid="{0C706A41-12B1-4979-BAA0-C8460DA3B61F}"/>
    <cellStyle name="Normal" xfId="0" builtinId="0"/>
    <cellStyle name="Normal 17" xfId="10" xr:uid="{B559CBA3-B8E4-40FB-BC5C-C122973EF5C3}"/>
    <cellStyle name="Normal 2" xfId="11" xr:uid="{C54691F4-1D38-4F1C-86A6-D3F1A073E3B2}"/>
    <cellStyle name="Normal 2 2" xfId="12" xr:uid="{0AD1C98F-1E25-4753-BE1D-EEE5B83F9A0A}"/>
    <cellStyle name="Normal 3" xfId="13" xr:uid="{0989F1FE-BCDD-464C-BABB-DFB5CF2159C4}"/>
    <cellStyle name="Normal 4" xfId="14" xr:uid="{3CE5031E-4297-46EF-87EF-774A9E23FC07}"/>
    <cellStyle name="Normal 5" xfId="15" xr:uid="{4EEAF9BF-750B-40FB-A063-3BA0DAF2EC7E}"/>
    <cellStyle name="Normal 6" xfId="16" xr:uid="{61B54251-91A3-40D7-986D-11416FD728BD}"/>
  </cellStyles>
  <dxfs count="0"/>
  <tableStyles count="0" defaultTableStyle="TableStyleMedium9" defaultPivotStyle="PivotStyleLight16"/>
  <colors>
    <mruColors>
      <color rgb="FFFF3300"/>
      <color rgb="FFFF0000"/>
      <color rgb="FFFF9966"/>
      <color rgb="FFFFFFFF"/>
      <color rgb="FF00FFFF"/>
      <color rgb="FF66FFFF"/>
      <color rgb="FF33CCFF"/>
      <color rgb="FF3399FF"/>
      <color rgb="FF00FFCC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3B86E-291D-4F21-8E08-7D5238D01830}">
  <sheetPr>
    <tabColor rgb="FFFF0000"/>
  </sheetPr>
  <dimension ref="A1:U992"/>
  <sheetViews>
    <sheetView showGridLines="0" zoomScale="90" zoomScaleNormal="90" workbookViewId="0">
      <pane ySplit="6" topLeftCell="A7" activePane="bottomLeft" state="frozen"/>
      <selection pane="bottomLeft" activeCell="M17" sqref="M17"/>
    </sheetView>
  </sheetViews>
  <sheetFormatPr defaultColWidth="9" defaultRowHeight="15" x14ac:dyDescent="0.25"/>
  <cols>
    <col min="1" max="1" width="5" style="115" customWidth="1"/>
    <col min="2" max="2" width="15.375" style="79" customWidth="1"/>
    <col min="3" max="3" width="15.625" style="116" customWidth="1"/>
    <col min="4" max="4" width="6.25" style="79" customWidth="1"/>
    <col min="5" max="5" width="8.625" style="79" customWidth="1"/>
    <col min="6" max="6" width="8" style="79" customWidth="1"/>
    <col min="7" max="7" width="11.25" style="78" customWidth="1"/>
    <col min="8" max="8" width="7.75" style="78" customWidth="1"/>
    <col min="9" max="9" width="7.75" style="79" customWidth="1"/>
    <col min="10" max="10" width="10.125" style="79" customWidth="1"/>
    <col min="11" max="11" width="6.875" style="79" hidden="1" customWidth="1"/>
    <col min="12" max="12" width="9.375" style="79" customWidth="1"/>
    <col min="13" max="13" width="9.5" style="79" customWidth="1"/>
    <col min="14" max="14" width="9" style="79" customWidth="1"/>
    <col min="15" max="15" width="13" style="79" customWidth="1"/>
    <col min="16" max="16" width="10" style="79" customWidth="1"/>
    <col min="17" max="17" width="6.125" style="79" customWidth="1"/>
    <col min="18" max="18" width="10.125" style="79" customWidth="1"/>
    <col min="19" max="19" width="21.5" style="79" customWidth="1"/>
    <col min="20" max="16384" width="9" style="79"/>
  </cols>
  <sheetData>
    <row r="1" spans="1:20" ht="49.5" customHeight="1" x14ac:dyDescent="0.25">
      <c r="A1" s="204" t="s">
        <v>1208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</row>
    <row r="2" spans="1:20" ht="53.25" hidden="1" customHeight="1" x14ac:dyDescent="0.25">
      <c r="A2" s="204" t="s">
        <v>1184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</row>
    <row r="3" spans="1:20" x14ac:dyDescent="0.25">
      <c r="A3" s="206" t="s">
        <v>0</v>
      </c>
      <c r="B3" s="207" t="s">
        <v>10</v>
      </c>
      <c r="C3" s="207" t="s">
        <v>1139</v>
      </c>
      <c r="D3" s="207" t="s">
        <v>1137</v>
      </c>
      <c r="E3" s="207"/>
      <c r="F3" s="207"/>
      <c r="G3" s="207"/>
      <c r="H3" s="207"/>
      <c r="I3" s="207"/>
      <c r="J3" s="207"/>
      <c r="K3" s="10"/>
      <c r="L3" s="207" t="s">
        <v>1140</v>
      </c>
      <c r="M3" s="207"/>
      <c r="N3" s="207"/>
      <c r="O3" s="207"/>
      <c r="P3" s="207"/>
      <c r="Q3" s="207"/>
      <c r="R3" s="207"/>
      <c r="S3" s="201" t="s">
        <v>1138</v>
      </c>
    </row>
    <row r="4" spans="1:20" s="84" customFormat="1" ht="22.5" customHeight="1" x14ac:dyDescent="0.25">
      <c r="A4" s="206"/>
      <c r="B4" s="207"/>
      <c r="C4" s="207"/>
      <c r="D4" s="205" t="s">
        <v>12</v>
      </c>
      <c r="E4" s="205"/>
      <c r="F4" s="205"/>
      <c r="G4" s="205"/>
      <c r="H4" s="205"/>
      <c r="I4" s="205" t="s">
        <v>3</v>
      </c>
      <c r="J4" s="205" t="s">
        <v>13</v>
      </c>
      <c r="K4" s="92"/>
      <c r="L4" s="205" t="s">
        <v>12</v>
      </c>
      <c r="M4" s="205"/>
      <c r="N4" s="205"/>
      <c r="O4" s="205"/>
      <c r="P4" s="205"/>
      <c r="Q4" s="205" t="s">
        <v>3</v>
      </c>
      <c r="R4" s="205" t="s">
        <v>13</v>
      </c>
      <c r="S4" s="202"/>
    </row>
    <row r="5" spans="1:20" s="84" customFormat="1" ht="18" customHeight="1" x14ac:dyDescent="0.25">
      <c r="A5" s="206"/>
      <c r="B5" s="207"/>
      <c r="C5" s="207"/>
      <c r="D5" s="205" t="s">
        <v>7</v>
      </c>
      <c r="E5" s="205" t="s">
        <v>2</v>
      </c>
      <c r="F5" s="205"/>
      <c r="G5" s="205" t="s">
        <v>14</v>
      </c>
      <c r="H5" s="205" t="s">
        <v>15</v>
      </c>
      <c r="I5" s="205"/>
      <c r="J5" s="205"/>
      <c r="K5" s="92"/>
      <c r="L5" s="205" t="s">
        <v>7</v>
      </c>
      <c r="M5" s="205" t="s">
        <v>2</v>
      </c>
      <c r="N5" s="205"/>
      <c r="O5" s="205" t="s">
        <v>14</v>
      </c>
      <c r="P5" s="205" t="s">
        <v>15</v>
      </c>
      <c r="Q5" s="205"/>
      <c r="R5" s="205"/>
      <c r="S5" s="202"/>
    </row>
    <row r="6" spans="1:20" s="84" customFormat="1" ht="100.5" customHeight="1" x14ac:dyDescent="0.25">
      <c r="A6" s="206"/>
      <c r="B6" s="207"/>
      <c r="C6" s="207"/>
      <c r="D6" s="205"/>
      <c r="E6" s="91" t="s">
        <v>16</v>
      </c>
      <c r="F6" s="91" t="s">
        <v>17</v>
      </c>
      <c r="G6" s="205"/>
      <c r="H6" s="205"/>
      <c r="I6" s="205"/>
      <c r="J6" s="205"/>
      <c r="K6" s="93" t="e">
        <f>#REF!+K21+#REF!+#REF!+#REF!+#REF!+K44+#REF!+#REF!+#REF!+#REF!+#REF!+#REF!+#REF!+#REF!+#REF!+K63+#REF!+#REF!+K87+#REF!+#REF!+#REF!+K122+K139+#REF!+#REF!+#REF!+#REF!+#REF!+K156+#REF!+#REF!+K165+#REF!+#REF!+#REF!+#REF!+K195+#REF!+#REF!+#REF!+#REF!+#REF!+#REF!+#REF!+#REF!+#REF!+#REF!+#REF!+#REF!+#REF!+#REF!+#REF!+#REF!+#REF!+K216+K237+K291+K327+K364+K432+#REF!+K480+K500+K526+K541+#REF!+#REF!+K569+#REF!+K586+K601+K625+K642+K683+K722+#REF!+#REF!+#REF!+K751+#REF!+K764+#REF!+#REF!+#REF!+#REF!+K807+#REF!+K868+K884+K923+K950+#REF!+#REF!+#REF!+#REF!</f>
        <v>#REF!</v>
      </c>
      <c r="L6" s="205"/>
      <c r="M6" s="91" t="s">
        <v>16</v>
      </c>
      <c r="N6" s="91" t="s">
        <v>17</v>
      </c>
      <c r="O6" s="205"/>
      <c r="P6" s="205"/>
      <c r="Q6" s="205"/>
      <c r="R6" s="205"/>
      <c r="S6" s="203"/>
    </row>
    <row r="7" spans="1:20" s="109" customFormat="1" ht="18" customHeight="1" x14ac:dyDescent="0.25">
      <c r="A7" s="63" t="s">
        <v>5</v>
      </c>
      <c r="B7" s="64" t="s">
        <v>48</v>
      </c>
      <c r="C7" s="64"/>
      <c r="D7" s="66"/>
      <c r="E7" s="66"/>
      <c r="F7" s="66"/>
      <c r="G7" s="66"/>
      <c r="H7" s="66"/>
      <c r="I7" s="66"/>
      <c r="J7" s="66"/>
      <c r="K7" s="68">
        <f>COUNTIF(J8:J20,"Đạt")</f>
        <v>8</v>
      </c>
      <c r="L7" s="65"/>
      <c r="M7" s="65"/>
      <c r="N7" s="65"/>
      <c r="O7" s="65"/>
      <c r="P7" s="68"/>
      <c r="Q7" s="65"/>
      <c r="R7" s="65"/>
      <c r="S7" s="68" t="s">
        <v>1213</v>
      </c>
    </row>
    <row r="8" spans="1:20" s="84" customFormat="1" ht="51" customHeight="1" x14ac:dyDescent="0.25">
      <c r="A8" s="9" t="s">
        <v>148</v>
      </c>
      <c r="B8" s="1"/>
      <c r="C8" s="1" t="s">
        <v>210</v>
      </c>
      <c r="D8" s="15">
        <f t="shared" ref="D8:D19" si="0">E8+F8</f>
        <v>31.5</v>
      </c>
      <c r="E8" s="12">
        <v>29.45</v>
      </c>
      <c r="F8" s="12">
        <v>2.0499999999999998</v>
      </c>
      <c r="G8" s="12">
        <v>80</v>
      </c>
      <c r="H8" s="12">
        <v>93.84</v>
      </c>
      <c r="I8" s="12">
        <f>SUM((IF(D8&gt;=16.24,1,0))+(IF(G8&lt;60,1,0))+(IF(H8&lt;90,1,0)))</f>
        <v>1</v>
      </c>
      <c r="J8" s="12" t="str">
        <f t="shared" ref="J8:J20" si="1">IF(I8&gt;=2,"Đạt","Không đạt")</f>
        <v>Không đạt</v>
      </c>
      <c r="K8" s="80"/>
      <c r="L8" s="96">
        <f>M8+N8</f>
        <v>31.5</v>
      </c>
      <c r="M8" s="10">
        <v>29.45</v>
      </c>
      <c r="N8" s="10">
        <v>2.0499999999999998</v>
      </c>
      <c r="O8" s="142">
        <v>57.1</v>
      </c>
      <c r="P8" s="97">
        <v>100</v>
      </c>
      <c r="Q8" s="12">
        <f>SUM((IF(L8&gt;=16.24,1,0))+(IF(O8&lt;60,1,0))+(IF(P8&lt;90,1,0)))</f>
        <v>2</v>
      </c>
      <c r="R8" s="12" t="str">
        <f>IF(Q8&gt;=2,"Đạt","Không đạt")</f>
        <v>Đạt</v>
      </c>
      <c r="S8" s="80" t="s">
        <v>1209</v>
      </c>
      <c r="T8" s="95"/>
    </row>
    <row r="9" spans="1:20" s="84" customFormat="1" ht="13.5" hidden="1" customHeight="1" x14ac:dyDescent="0.25">
      <c r="A9" s="9" t="s">
        <v>149</v>
      </c>
      <c r="B9" s="1"/>
      <c r="C9" s="1" t="s">
        <v>211</v>
      </c>
      <c r="D9" s="15">
        <f t="shared" si="0"/>
        <v>58.22</v>
      </c>
      <c r="E9" s="12">
        <v>54.11</v>
      </c>
      <c r="F9" s="12">
        <v>4.1100000000000003</v>
      </c>
      <c r="G9" s="12">
        <v>23.1</v>
      </c>
      <c r="H9" s="12">
        <v>60.27</v>
      </c>
      <c r="I9" s="12">
        <f>SUM((IF(D9&gt;=16.24,1,0))+(IF(G9&lt;60,1,0))+(IF(H9&lt;90,1,0)))</f>
        <v>3</v>
      </c>
      <c r="J9" s="12" t="str">
        <f>IF(I9&gt;=2,"Đạt","Không đạt")</f>
        <v>Đạt</v>
      </c>
      <c r="K9" s="80"/>
      <c r="L9" s="96">
        <f t="shared" ref="L9:L20" si="2">M9+N9</f>
        <v>58.22</v>
      </c>
      <c r="M9" s="10">
        <v>54.11</v>
      </c>
      <c r="N9" s="10">
        <v>4.1100000000000003</v>
      </c>
      <c r="O9" s="142">
        <v>23.1</v>
      </c>
      <c r="P9" s="97">
        <v>98.6</v>
      </c>
      <c r="Q9" s="12">
        <f t="shared" ref="Q9:Q20" si="3">SUM((IF(L9&gt;=16.24,1,0))+(IF(O9&lt;60,1,0))+(IF(P9&lt;90,1,0)))</f>
        <v>2</v>
      </c>
      <c r="R9" s="12" t="str">
        <f t="shared" ref="R9:R20" si="4">IF(Q9&gt;=2,"Đạt","Không đạt")</f>
        <v>Đạt</v>
      </c>
      <c r="S9" s="80"/>
      <c r="T9" s="95"/>
    </row>
    <row r="10" spans="1:20" s="84" customFormat="1" ht="13.5" hidden="1" customHeight="1" x14ac:dyDescent="0.25">
      <c r="A10" s="9" t="s">
        <v>150</v>
      </c>
      <c r="B10" s="1"/>
      <c r="C10" s="1" t="s">
        <v>212</v>
      </c>
      <c r="D10" s="15">
        <f t="shared" si="0"/>
        <v>11.32</v>
      </c>
      <c r="E10" s="12">
        <v>9.43</v>
      </c>
      <c r="F10" s="12">
        <v>1.89</v>
      </c>
      <c r="G10" s="12">
        <v>56.1</v>
      </c>
      <c r="H10" s="12">
        <v>99.06</v>
      </c>
      <c r="I10" s="12">
        <f t="shared" ref="I10:I19" si="5">SUM((IF(D10&gt;=16.24,1,0))+(IF(G10&lt;60,1,0))+(IF(H10&lt;90,1,0)))</f>
        <v>1</v>
      </c>
      <c r="J10" s="12" t="str">
        <f t="shared" si="1"/>
        <v>Không đạt</v>
      </c>
      <c r="K10" s="80"/>
      <c r="L10" s="96">
        <f t="shared" si="2"/>
        <v>11.32</v>
      </c>
      <c r="M10" s="10">
        <v>9.43</v>
      </c>
      <c r="N10" s="10">
        <v>1.89</v>
      </c>
      <c r="O10" s="142">
        <v>56.1</v>
      </c>
      <c r="P10" s="97">
        <v>90.6</v>
      </c>
      <c r="Q10" s="12">
        <f t="shared" si="3"/>
        <v>1</v>
      </c>
      <c r="R10" s="12" t="str">
        <f t="shared" si="4"/>
        <v>Không đạt</v>
      </c>
      <c r="S10" s="80"/>
      <c r="T10" s="95"/>
    </row>
    <row r="11" spans="1:20" s="84" customFormat="1" ht="13.5" hidden="1" customHeight="1" x14ac:dyDescent="0.25">
      <c r="A11" s="9" t="s">
        <v>151</v>
      </c>
      <c r="B11" s="1"/>
      <c r="C11" s="1" t="s">
        <v>213</v>
      </c>
      <c r="D11" s="15">
        <f t="shared" si="0"/>
        <v>66.67</v>
      </c>
      <c r="E11" s="12">
        <v>63.64</v>
      </c>
      <c r="F11" s="12">
        <v>3.03</v>
      </c>
      <c r="G11" s="12">
        <v>40</v>
      </c>
      <c r="H11" s="12">
        <v>89.39</v>
      </c>
      <c r="I11" s="12">
        <f t="shared" si="5"/>
        <v>3</v>
      </c>
      <c r="J11" s="12" t="str">
        <f t="shared" si="1"/>
        <v>Đạt</v>
      </c>
      <c r="K11" s="80"/>
      <c r="L11" s="96">
        <f t="shared" si="2"/>
        <v>66.67</v>
      </c>
      <c r="M11" s="10">
        <v>63.64</v>
      </c>
      <c r="N11" s="10">
        <v>3.03</v>
      </c>
      <c r="O11" s="142">
        <v>40</v>
      </c>
      <c r="P11" s="97">
        <v>100</v>
      </c>
      <c r="Q11" s="12">
        <f t="shared" si="3"/>
        <v>2</v>
      </c>
      <c r="R11" s="12" t="str">
        <f t="shared" si="4"/>
        <v>Đạt</v>
      </c>
      <c r="S11" s="80"/>
      <c r="T11" s="95"/>
    </row>
    <row r="12" spans="1:20" s="84" customFormat="1" ht="13.5" hidden="1" customHeight="1" x14ac:dyDescent="0.25">
      <c r="A12" s="9" t="s">
        <v>152</v>
      </c>
      <c r="B12" s="1"/>
      <c r="C12" s="1" t="s">
        <v>214</v>
      </c>
      <c r="D12" s="15">
        <f t="shared" si="0"/>
        <v>71.930000000000007</v>
      </c>
      <c r="E12" s="12">
        <v>68.42</v>
      </c>
      <c r="F12" s="12">
        <v>3.51</v>
      </c>
      <c r="G12" s="12">
        <v>45</v>
      </c>
      <c r="H12" s="12">
        <v>0</v>
      </c>
      <c r="I12" s="12">
        <f t="shared" si="5"/>
        <v>3</v>
      </c>
      <c r="J12" s="12" t="str">
        <f t="shared" si="1"/>
        <v>Đạt</v>
      </c>
      <c r="K12" s="80"/>
      <c r="L12" s="96">
        <f t="shared" si="2"/>
        <v>71.930000000000007</v>
      </c>
      <c r="M12" s="10">
        <v>68.42</v>
      </c>
      <c r="N12" s="10">
        <v>3.51</v>
      </c>
      <c r="O12" s="142">
        <v>45</v>
      </c>
      <c r="P12" s="97">
        <v>0</v>
      </c>
      <c r="Q12" s="12">
        <f t="shared" si="3"/>
        <v>3</v>
      </c>
      <c r="R12" s="12" t="str">
        <f t="shared" si="4"/>
        <v>Đạt</v>
      </c>
      <c r="S12" s="80"/>
      <c r="T12" s="95"/>
    </row>
    <row r="13" spans="1:20" s="84" customFormat="1" ht="13.5" hidden="1" customHeight="1" x14ac:dyDescent="0.25">
      <c r="A13" s="9" t="s">
        <v>153</v>
      </c>
      <c r="B13" s="1"/>
      <c r="C13" s="1" t="s">
        <v>215</v>
      </c>
      <c r="D13" s="15">
        <f t="shared" si="0"/>
        <v>48.68</v>
      </c>
      <c r="E13" s="12">
        <v>42.76</v>
      </c>
      <c r="F13" s="12">
        <v>5.92</v>
      </c>
      <c r="G13" s="12">
        <v>0</v>
      </c>
      <c r="H13" s="12">
        <v>40.79</v>
      </c>
      <c r="I13" s="12">
        <f t="shared" si="5"/>
        <v>3</v>
      </c>
      <c r="J13" s="12" t="str">
        <f t="shared" si="1"/>
        <v>Đạt</v>
      </c>
      <c r="K13" s="80"/>
      <c r="L13" s="96">
        <f t="shared" si="2"/>
        <v>48.68</v>
      </c>
      <c r="M13" s="10">
        <v>42.76</v>
      </c>
      <c r="N13" s="10">
        <v>5.92</v>
      </c>
      <c r="O13" s="142">
        <v>0</v>
      </c>
      <c r="P13" s="97">
        <v>73.599999999999994</v>
      </c>
      <c r="Q13" s="12">
        <f t="shared" si="3"/>
        <v>3</v>
      </c>
      <c r="R13" s="12" t="str">
        <f t="shared" si="4"/>
        <v>Đạt</v>
      </c>
      <c r="S13" s="80"/>
      <c r="T13" s="95"/>
    </row>
    <row r="14" spans="1:20" s="84" customFormat="1" ht="13.5" hidden="1" customHeight="1" x14ac:dyDescent="0.25">
      <c r="A14" s="9" t="s">
        <v>154</v>
      </c>
      <c r="B14" s="1"/>
      <c r="C14" s="1" t="s">
        <v>216</v>
      </c>
      <c r="D14" s="15">
        <f t="shared" si="0"/>
        <v>52.26</v>
      </c>
      <c r="E14" s="12">
        <v>41.94</v>
      </c>
      <c r="F14" s="12">
        <v>10.32</v>
      </c>
      <c r="G14" s="12">
        <v>44.2</v>
      </c>
      <c r="H14" s="12">
        <v>0</v>
      </c>
      <c r="I14" s="12">
        <f t="shared" si="5"/>
        <v>3</v>
      </c>
      <c r="J14" s="12" t="str">
        <f t="shared" si="1"/>
        <v>Đạt</v>
      </c>
      <c r="K14" s="80"/>
      <c r="L14" s="96">
        <f t="shared" si="2"/>
        <v>52.26</v>
      </c>
      <c r="M14" s="10">
        <v>41.94</v>
      </c>
      <c r="N14" s="10">
        <v>10.32</v>
      </c>
      <c r="O14" s="142">
        <v>44.2</v>
      </c>
      <c r="P14" s="97">
        <v>0</v>
      </c>
      <c r="Q14" s="12">
        <f t="shared" si="3"/>
        <v>3</v>
      </c>
      <c r="R14" s="12" t="str">
        <f t="shared" si="4"/>
        <v>Đạt</v>
      </c>
      <c r="S14" s="80"/>
      <c r="T14" s="95"/>
    </row>
    <row r="15" spans="1:20" s="84" customFormat="1" ht="13.5" hidden="1" customHeight="1" x14ac:dyDescent="0.25">
      <c r="A15" s="9" t="s">
        <v>155</v>
      </c>
      <c r="B15" s="1"/>
      <c r="C15" s="1" t="s">
        <v>217</v>
      </c>
      <c r="D15" s="15">
        <f t="shared" si="0"/>
        <v>8.77</v>
      </c>
      <c r="E15" s="12">
        <v>7.6</v>
      </c>
      <c r="F15" s="12">
        <v>1.17</v>
      </c>
      <c r="G15" s="12">
        <v>100</v>
      </c>
      <c r="H15" s="12">
        <v>100</v>
      </c>
      <c r="I15" s="12">
        <f t="shared" si="5"/>
        <v>0</v>
      </c>
      <c r="J15" s="12" t="str">
        <f t="shared" si="1"/>
        <v>Không đạt</v>
      </c>
      <c r="K15" s="80"/>
      <c r="L15" s="96">
        <f t="shared" si="2"/>
        <v>8.77</v>
      </c>
      <c r="M15" s="10">
        <v>7.6</v>
      </c>
      <c r="N15" s="10">
        <v>1.17</v>
      </c>
      <c r="O15" s="142">
        <v>100</v>
      </c>
      <c r="P15" s="97">
        <v>100</v>
      </c>
      <c r="Q15" s="12">
        <f t="shared" si="3"/>
        <v>0</v>
      </c>
      <c r="R15" s="12" t="str">
        <f t="shared" si="4"/>
        <v>Không đạt</v>
      </c>
      <c r="S15" s="80"/>
      <c r="T15" s="95"/>
    </row>
    <row r="16" spans="1:20" s="84" customFormat="1" ht="54" customHeight="1" x14ac:dyDescent="0.25">
      <c r="A16" s="9" t="s">
        <v>156</v>
      </c>
      <c r="B16" s="1"/>
      <c r="C16" s="1" t="s">
        <v>218</v>
      </c>
      <c r="D16" s="15">
        <f t="shared" si="0"/>
        <v>40.35</v>
      </c>
      <c r="E16" s="12">
        <v>29.82</v>
      </c>
      <c r="F16" s="12">
        <v>10.53</v>
      </c>
      <c r="G16" s="12">
        <v>100</v>
      </c>
      <c r="H16" s="12">
        <v>95.61</v>
      </c>
      <c r="I16" s="12">
        <f t="shared" si="5"/>
        <v>1</v>
      </c>
      <c r="J16" s="12" t="str">
        <f t="shared" si="1"/>
        <v>Không đạt</v>
      </c>
      <c r="K16" s="80"/>
      <c r="L16" s="96">
        <f t="shared" si="2"/>
        <v>40.35</v>
      </c>
      <c r="M16" s="10">
        <v>29.82</v>
      </c>
      <c r="N16" s="10">
        <v>10.53</v>
      </c>
      <c r="O16" s="142">
        <v>0</v>
      </c>
      <c r="P16" s="97">
        <v>100</v>
      </c>
      <c r="Q16" s="12">
        <f t="shared" si="3"/>
        <v>2</v>
      </c>
      <c r="R16" s="12" t="str">
        <f t="shared" si="4"/>
        <v>Đạt</v>
      </c>
      <c r="S16" s="80" t="s">
        <v>1209</v>
      </c>
      <c r="T16" s="95"/>
    </row>
    <row r="17" spans="1:21" s="84" customFormat="1" ht="51" customHeight="1" x14ac:dyDescent="0.25">
      <c r="A17" s="9" t="s">
        <v>157</v>
      </c>
      <c r="B17" s="1"/>
      <c r="C17" s="1" t="s">
        <v>219</v>
      </c>
      <c r="D17" s="15">
        <f t="shared" si="0"/>
        <v>11.63</v>
      </c>
      <c r="E17" s="12">
        <v>6.98</v>
      </c>
      <c r="F17" s="12">
        <v>4.6500000000000004</v>
      </c>
      <c r="G17" s="12">
        <v>100</v>
      </c>
      <c r="H17" s="12">
        <v>83.72</v>
      </c>
      <c r="I17" s="12">
        <f t="shared" si="5"/>
        <v>1</v>
      </c>
      <c r="J17" s="12" t="str">
        <f t="shared" si="1"/>
        <v>Không đạt</v>
      </c>
      <c r="K17" s="80"/>
      <c r="L17" s="96">
        <f t="shared" si="2"/>
        <v>11.63</v>
      </c>
      <c r="M17" s="10">
        <v>6.98</v>
      </c>
      <c r="N17" s="10">
        <v>4.6500000000000004</v>
      </c>
      <c r="O17" s="142">
        <v>53.6</v>
      </c>
      <c r="P17" s="97">
        <v>73.260000000000005</v>
      </c>
      <c r="Q17" s="12">
        <f t="shared" si="3"/>
        <v>2</v>
      </c>
      <c r="R17" s="12" t="str">
        <f t="shared" si="4"/>
        <v>Đạt</v>
      </c>
      <c r="S17" s="80" t="s">
        <v>1209</v>
      </c>
      <c r="T17" s="95"/>
    </row>
    <row r="18" spans="1:21" s="84" customFormat="1" ht="13.5" hidden="1" customHeight="1" x14ac:dyDescent="0.25">
      <c r="A18" s="9" t="s">
        <v>158</v>
      </c>
      <c r="B18" s="1"/>
      <c r="C18" s="1" t="s">
        <v>220</v>
      </c>
      <c r="D18" s="15">
        <f t="shared" si="0"/>
        <v>54.25</v>
      </c>
      <c r="E18" s="12">
        <v>49.67</v>
      </c>
      <c r="F18" s="12">
        <v>4.58</v>
      </c>
      <c r="G18" s="12">
        <v>26.6</v>
      </c>
      <c r="H18" s="12">
        <v>82.35</v>
      </c>
      <c r="I18" s="12">
        <f t="shared" si="5"/>
        <v>3</v>
      </c>
      <c r="J18" s="12" t="str">
        <f t="shared" si="1"/>
        <v>Đạt</v>
      </c>
      <c r="K18" s="80"/>
      <c r="L18" s="96">
        <f t="shared" si="2"/>
        <v>54.25</v>
      </c>
      <c r="M18" s="10">
        <v>49.67</v>
      </c>
      <c r="N18" s="10">
        <v>4.58</v>
      </c>
      <c r="O18" s="45">
        <v>26.6</v>
      </c>
      <c r="P18" s="97">
        <v>100</v>
      </c>
      <c r="Q18" s="12">
        <f t="shared" si="3"/>
        <v>2</v>
      </c>
      <c r="R18" s="12" t="str">
        <f t="shared" si="4"/>
        <v>Đạt</v>
      </c>
      <c r="S18" s="80"/>
      <c r="T18" s="95"/>
    </row>
    <row r="19" spans="1:21" s="84" customFormat="1" ht="13.5" hidden="1" customHeight="1" x14ac:dyDescent="0.25">
      <c r="A19" s="9" t="s">
        <v>159</v>
      </c>
      <c r="B19" s="1"/>
      <c r="C19" s="1" t="s">
        <v>221</v>
      </c>
      <c r="D19" s="15">
        <f t="shared" si="0"/>
        <v>53.209999999999994</v>
      </c>
      <c r="E19" s="12">
        <v>44.44</v>
      </c>
      <c r="F19" s="12">
        <v>8.77</v>
      </c>
      <c r="G19" s="12">
        <v>25.1</v>
      </c>
      <c r="H19" s="12">
        <v>70.17</v>
      </c>
      <c r="I19" s="12">
        <f t="shared" si="5"/>
        <v>3</v>
      </c>
      <c r="J19" s="12" t="str">
        <f t="shared" si="1"/>
        <v>Đạt</v>
      </c>
      <c r="K19" s="80"/>
      <c r="L19" s="96">
        <f t="shared" si="2"/>
        <v>53.209999999999994</v>
      </c>
      <c r="M19" s="10">
        <v>44.44</v>
      </c>
      <c r="N19" s="10">
        <v>8.77</v>
      </c>
      <c r="O19" s="45">
        <v>25.1</v>
      </c>
      <c r="P19" s="97">
        <v>98.83</v>
      </c>
      <c r="Q19" s="12">
        <f t="shared" si="3"/>
        <v>2</v>
      </c>
      <c r="R19" s="12" t="str">
        <f t="shared" si="4"/>
        <v>Đạt</v>
      </c>
      <c r="S19" s="80"/>
      <c r="T19" s="95"/>
    </row>
    <row r="20" spans="1:21" s="84" customFormat="1" ht="13.5" hidden="1" customHeight="1" x14ac:dyDescent="0.25">
      <c r="A20" s="9" t="s">
        <v>160</v>
      </c>
      <c r="B20" s="1"/>
      <c r="C20" s="1" t="s">
        <v>222</v>
      </c>
      <c r="D20" s="15">
        <f>E20+F20</f>
        <v>48.480000000000004</v>
      </c>
      <c r="E20" s="12">
        <v>42.42</v>
      </c>
      <c r="F20" s="12">
        <v>6.06</v>
      </c>
      <c r="G20" s="12">
        <v>17</v>
      </c>
      <c r="H20" s="12">
        <v>98.48</v>
      </c>
      <c r="I20" s="12">
        <f>SUM((IF(D20&gt;=16.24,1,0))+(IF(G20&lt;60,1,0))+(IF(H20&lt;90,1,0)))</f>
        <v>2</v>
      </c>
      <c r="J20" s="12" t="str">
        <f t="shared" si="1"/>
        <v>Đạt</v>
      </c>
      <c r="K20" s="80"/>
      <c r="L20" s="96">
        <f t="shared" si="2"/>
        <v>48.480000000000004</v>
      </c>
      <c r="M20" s="10">
        <v>42.42</v>
      </c>
      <c r="N20" s="10">
        <v>6.06</v>
      </c>
      <c r="O20" s="45">
        <v>17</v>
      </c>
      <c r="P20" s="97">
        <v>100</v>
      </c>
      <c r="Q20" s="12">
        <f t="shared" si="3"/>
        <v>2</v>
      </c>
      <c r="R20" s="12" t="str">
        <f t="shared" si="4"/>
        <v>Đạt</v>
      </c>
      <c r="S20" s="80"/>
      <c r="T20" s="95"/>
    </row>
    <row r="21" spans="1:21" s="100" customFormat="1" ht="28.5" x14ac:dyDescent="0.25">
      <c r="A21" s="19" t="s">
        <v>4</v>
      </c>
      <c r="B21" s="20" t="s">
        <v>49</v>
      </c>
      <c r="C21" s="20"/>
      <c r="D21" s="22"/>
      <c r="E21" s="22"/>
      <c r="F21" s="22"/>
      <c r="G21" s="22"/>
      <c r="H21" s="22"/>
      <c r="I21" s="89"/>
      <c r="J21" s="89"/>
      <c r="K21" s="90">
        <f>COUNTIF(J22:J43,"Đạt")</f>
        <v>17</v>
      </c>
      <c r="L21" s="98">
        <f t="shared" ref="L21:L43" si="6">M21+N21</f>
        <v>0</v>
      </c>
      <c r="M21" s="90"/>
      <c r="N21" s="90"/>
      <c r="O21" s="22"/>
      <c r="P21" s="99"/>
      <c r="Q21" s="89"/>
      <c r="R21" s="89"/>
      <c r="S21" s="90" t="s">
        <v>1207</v>
      </c>
      <c r="U21" s="84"/>
    </row>
    <row r="22" spans="1:21" s="84" customFormat="1" hidden="1" x14ac:dyDescent="0.25">
      <c r="A22" s="9" t="s">
        <v>148</v>
      </c>
      <c r="B22" s="1"/>
      <c r="C22" s="1" t="s">
        <v>266</v>
      </c>
      <c r="D22" s="15">
        <f>E22+F22</f>
        <v>1.1627906976744187</v>
      </c>
      <c r="E22" s="15">
        <v>0.58139534883720934</v>
      </c>
      <c r="F22" s="15">
        <v>0.58139534883720934</v>
      </c>
      <c r="G22" s="12">
        <v>100</v>
      </c>
      <c r="H22" s="15">
        <v>81.538461538461533</v>
      </c>
      <c r="I22" s="12">
        <f t="shared" ref="I22:I43" si="7">SUM((IF(D22&gt;=16.24,1,0))+(IF(G22&lt;60,1,0))+(IF(H22&lt;90,1,0)))</f>
        <v>1</v>
      </c>
      <c r="J22" s="12" t="str">
        <f t="shared" ref="J22:J43" si="8">IF(I22&gt;=2,"Đạt","Không đạt")</f>
        <v>Không đạt</v>
      </c>
      <c r="K22" s="10"/>
      <c r="L22" s="96">
        <f>M22+N22</f>
        <v>1.2</v>
      </c>
      <c r="M22" s="10">
        <v>0.6</v>
      </c>
      <c r="N22" s="10">
        <v>0.6</v>
      </c>
      <c r="O22" s="12">
        <v>100</v>
      </c>
      <c r="P22" s="97">
        <v>81.538461538461547</v>
      </c>
      <c r="Q22" s="12">
        <f>SUM((IF(L22&gt;=16.24,1,0))+(IF(O22&lt;60,1,0))+(IF(P22&lt;90,1,0)))</f>
        <v>1</v>
      </c>
      <c r="R22" s="12" t="str">
        <f>IF(Q22&gt;=2,"Đạt","Không đạt")</f>
        <v>Không đạt</v>
      </c>
      <c r="S22" s="10"/>
      <c r="T22" s="95"/>
    </row>
    <row r="23" spans="1:21" s="84" customFormat="1" hidden="1" x14ac:dyDescent="0.25">
      <c r="A23" s="9" t="s">
        <v>149</v>
      </c>
      <c r="B23" s="1"/>
      <c r="C23" s="1" t="s">
        <v>267</v>
      </c>
      <c r="D23" s="15">
        <f t="shared" ref="D23:D43" si="9">E23+F23</f>
        <v>1.4150943396226416</v>
      </c>
      <c r="E23" s="15">
        <v>0</v>
      </c>
      <c r="F23" s="15">
        <v>1.4150943396226416</v>
      </c>
      <c r="G23" s="12">
        <v>100</v>
      </c>
      <c r="H23" s="15">
        <v>89.130434782608688</v>
      </c>
      <c r="I23" s="12">
        <f t="shared" si="7"/>
        <v>1</v>
      </c>
      <c r="J23" s="12" t="str">
        <f t="shared" si="8"/>
        <v>Không đạt</v>
      </c>
      <c r="K23" s="10"/>
      <c r="L23" s="96">
        <f>M23+N23</f>
        <v>1.4</v>
      </c>
      <c r="M23" s="10">
        <v>0</v>
      </c>
      <c r="N23" s="10">
        <v>1.4</v>
      </c>
      <c r="O23" s="12">
        <v>100</v>
      </c>
      <c r="P23" s="97">
        <v>89.130434782608702</v>
      </c>
      <c r="Q23" s="12">
        <f t="shared" ref="Q23:Q43" si="10">SUM((IF(L23&gt;=16.24,1,0))+(IF(O23&lt;60,1,0))+(IF(P23&lt;90,1,0)))</f>
        <v>1</v>
      </c>
      <c r="R23" s="12" t="str">
        <f t="shared" ref="R23:R43" si="11">IF(Q23&gt;=2,"Đạt","Không đạt")</f>
        <v>Không đạt</v>
      </c>
      <c r="S23" s="10"/>
      <c r="T23" s="95"/>
    </row>
    <row r="24" spans="1:21" s="84" customFormat="1" hidden="1" x14ac:dyDescent="0.25">
      <c r="A24" s="9" t="s">
        <v>150</v>
      </c>
      <c r="B24" s="1"/>
      <c r="C24" s="1" t="s">
        <v>268</v>
      </c>
      <c r="D24" s="15">
        <f t="shared" si="9"/>
        <v>0.52083333333333326</v>
      </c>
      <c r="E24" s="15">
        <v>0.52083333333333326</v>
      </c>
      <c r="F24" s="15">
        <v>0</v>
      </c>
      <c r="G24" s="12">
        <v>100</v>
      </c>
      <c r="H24" s="15">
        <v>88.372093023255815</v>
      </c>
      <c r="I24" s="12">
        <f t="shared" si="7"/>
        <v>1</v>
      </c>
      <c r="J24" s="12" t="str">
        <f t="shared" si="8"/>
        <v>Không đạt</v>
      </c>
      <c r="K24" s="10"/>
      <c r="L24" s="96">
        <f t="shared" si="6"/>
        <v>0.5</v>
      </c>
      <c r="M24" s="10">
        <v>0.5</v>
      </c>
      <c r="N24" s="10">
        <v>0</v>
      </c>
      <c r="O24" s="12">
        <v>100</v>
      </c>
      <c r="P24" s="97">
        <v>88.372093023255815</v>
      </c>
      <c r="Q24" s="12">
        <f t="shared" si="10"/>
        <v>1</v>
      </c>
      <c r="R24" s="12" t="str">
        <f t="shared" si="11"/>
        <v>Không đạt</v>
      </c>
      <c r="S24" s="10"/>
      <c r="T24" s="95"/>
    </row>
    <row r="25" spans="1:21" s="84" customFormat="1" hidden="1" x14ac:dyDescent="0.25">
      <c r="A25" s="9" t="s">
        <v>151</v>
      </c>
      <c r="B25" s="1"/>
      <c r="C25" s="1" t="s">
        <v>269</v>
      </c>
      <c r="D25" s="15">
        <f t="shared" si="9"/>
        <v>1.5306122448979591</v>
      </c>
      <c r="E25" s="15">
        <v>0</v>
      </c>
      <c r="F25" s="15">
        <v>1.5306122448979591</v>
      </c>
      <c r="G25" s="12">
        <v>100</v>
      </c>
      <c r="H25" s="15">
        <v>79.203539823008853</v>
      </c>
      <c r="I25" s="12">
        <f t="shared" si="7"/>
        <v>1</v>
      </c>
      <c r="J25" s="12" t="str">
        <f t="shared" si="8"/>
        <v>Không đạt</v>
      </c>
      <c r="K25" s="10"/>
      <c r="L25" s="96">
        <f t="shared" si="6"/>
        <v>1.5</v>
      </c>
      <c r="M25" s="10">
        <v>0</v>
      </c>
      <c r="N25" s="10">
        <v>1.5</v>
      </c>
      <c r="O25" s="12">
        <v>100</v>
      </c>
      <c r="P25" s="97">
        <v>79.203539823008853</v>
      </c>
      <c r="Q25" s="12">
        <f t="shared" si="10"/>
        <v>1</v>
      </c>
      <c r="R25" s="12" t="str">
        <f t="shared" si="11"/>
        <v>Không đạt</v>
      </c>
      <c r="S25" s="10"/>
      <c r="T25" s="95"/>
    </row>
    <row r="26" spans="1:21" s="84" customFormat="1" hidden="1" x14ac:dyDescent="0.25">
      <c r="A26" s="9" t="s">
        <v>152</v>
      </c>
      <c r="B26" s="1"/>
      <c r="C26" s="1" t="s">
        <v>270</v>
      </c>
      <c r="D26" s="15">
        <f t="shared" si="9"/>
        <v>6.7924528301886795</v>
      </c>
      <c r="E26" s="15">
        <v>1.5094339622641511</v>
      </c>
      <c r="F26" s="15">
        <v>5.2830188679245289</v>
      </c>
      <c r="G26" s="12">
        <v>95</v>
      </c>
      <c r="H26" s="15">
        <v>90.940766550522639</v>
      </c>
      <c r="I26" s="12">
        <f t="shared" si="7"/>
        <v>0</v>
      </c>
      <c r="J26" s="12" t="str">
        <f t="shared" si="8"/>
        <v>Không đạt</v>
      </c>
      <c r="K26" s="10"/>
      <c r="L26" s="96">
        <f t="shared" si="6"/>
        <v>6.8</v>
      </c>
      <c r="M26" s="10">
        <v>1.5</v>
      </c>
      <c r="N26" s="10">
        <v>5.3</v>
      </c>
      <c r="O26" s="12">
        <v>95</v>
      </c>
      <c r="P26" s="97">
        <v>92.857142857142861</v>
      </c>
      <c r="Q26" s="12">
        <f t="shared" si="10"/>
        <v>0</v>
      </c>
      <c r="R26" s="12" t="str">
        <f t="shared" si="11"/>
        <v>Không đạt</v>
      </c>
      <c r="S26" s="10"/>
      <c r="T26" s="95"/>
    </row>
    <row r="27" spans="1:21" s="84" customFormat="1" ht="30" x14ac:dyDescent="0.25">
      <c r="A27" s="9" t="s">
        <v>153</v>
      </c>
      <c r="B27" s="1"/>
      <c r="C27" s="1" t="s">
        <v>271</v>
      </c>
      <c r="D27" s="15">
        <f t="shared" si="9"/>
        <v>12.820512820512821</v>
      </c>
      <c r="E27" s="15">
        <v>10.897435897435898</v>
      </c>
      <c r="F27" s="15">
        <v>1.9230769230769231</v>
      </c>
      <c r="G27" s="12">
        <v>58.5</v>
      </c>
      <c r="H27" s="15">
        <v>89.5</v>
      </c>
      <c r="I27" s="12">
        <f t="shared" si="7"/>
        <v>2</v>
      </c>
      <c r="J27" s="12" t="str">
        <f t="shared" si="8"/>
        <v>Đạt</v>
      </c>
      <c r="K27" s="10"/>
      <c r="L27" s="96">
        <f t="shared" si="6"/>
        <v>12.8</v>
      </c>
      <c r="M27" s="10">
        <v>10.9</v>
      </c>
      <c r="N27" s="10">
        <v>1.9</v>
      </c>
      <c r="O27" s="12">
        <v>58.5</v>
      </c>
      <c r="P27" s="97">
        <v>92.857142857142861</v>
      </c>
      <c r="Q27" s="12">
        <f>SUM((IF(L27&gt;=16.24,1,0))+(IF(O27&lt;60,1,0))+(IF(P27&lt;90,1,0)))</f>
        <v>1</v>
      </c>
      <c r="R27" s="12" t="str">
        <f t="shared" si="11"/>
        <v>Không đạt</v>
      </c>
      <c r="S27" s="10" t="s">
        <v>1185</v>
      </c>
      <c r="T27" s="95"/>
    </row>
    <row r="28" spans="1:21" s="84" customFormat="1" ht="30" hidden="1" x14ac:dyDescent="0.25">
      <c r="A28" s="9" t="s">
        <v>154</v>
      </c>
      <c r="B28" s="1"/>
      <c r="C28" s="1" t="s">
        <v>272</v>
      </c>
      <c r="D28" s="15">
        <f t="shared" si="9"/>
        <v>48.031496062992133</v>
      </c>
      <c r="E28" s="15">
        <v>45.669291338582681</v>
      </c>
      <c r="F28" s="15">
        <v>2.3622047244094486</v>
      </c>
      <c r="G28" s="12">
        <v>50</v>
      </c>
      <c r="H28" s="15">
        <v>93.333333333333329</v>
      </c>
      <c r="I28" s="12">
        <f t="shared" si="7"/>
        <v>2</v>
      </c>
      <c r="J28" s="12" t="str">
        <f t="shared" si="8"/>
        <v>Đạt</v>
      </c>
      <c r="K28" s="10"/>
      <c r="L28" s="96">
        <f t="shared" si="6"/>
        <v>48.1</v>
      </c>
      <c r="M28" s="10">
        <v>45.7</v>
      </c>
      <c r="N28" s="10">
        <v>2.4</v>
      </c>
      <c r="O28" s="12">
        <v>50</v>
      </c>
      <c r="P28" s="97">
        <v>93.333333333333329</v>
      </c>
      <c r="Q28" s="12">
        <f t="shared" si="10"/>
        <v>2</v>
      </c>
      <c r="R28" s="12" t="str">
        <f t="shared" si="11"/>
        <v>Đạt</v>
      </c>
      <c r="S28" s="10"/>
      <c r="T28" s="95"/>
    </row>
    <row r="29" spans="1:21" s="84" customFormat="1" hidden="1" x14ac:dyDescent="0.25">
      <c r="A29" s="9" t="s">
        <v>155</v>
      </c>
      <c r="B29" s="1"/>
      <c r="C29" s="1" t="s">
        <v>273</v>
      </c>
      <c r="D29" s="15">
        <f t="shared" si="9"/>
        <v>10.975609756097562</v>
      </c>
      <c r="E29" s="15">
        <v>8.536585365853659</v>
      </c>
      <c r="F29" s="15">
        <v>2.4390243902439024</v>
      </c>
      <c r="G29" s="12">
        <v>59.6</v>
      </c>
      <c r="H29" s="15">
        <v>69.662921348314612</v>
      </c>
      <c r="I29" s="12">
        <f t="shared" si="7"/>
        <v>2</v>
      </c>
      <c r="J29" s="12" t="str">
        <f t="shared" si="8"/>
        <v>Đạt</v>
      </c>
      <c r="K29" s="10"/>
      <c r="L29" s="96">
        <f t="shared" si="6"/>
        <v>10.9</v>
      </c>
      <c r="M29" s="10">
        <v>8.5</v>
      </c>
      <c r="N29" s="10">
        <v>2.4</v>
      </c>
      <c r="O29" s="12">
        <v>59.6</v>
      </c>
      <c r="P29" s="97">
        <v>69.662921348314612</v>
      </c>
      <c r="Q29" s="12">
        <f t="shared" si="10"/>
        <v>2</v>
      </c>
      <c r="R29" s="12" t="str">
        <f t="shared" si="11"/>
        <v>Đạt</v>
      </c>
      <c r="S29" s="10"/>
      <c r="T29" s="95"/>
    </row>
    <row r="30" spans="1:21" s="84" customFormat="1" hidden="1" x14ac:dyDescent="0.25">
      <c r="A30" s="9" t="s">
        <v>156</v>
      </c>
      <c r="B30" s="1"/>
      <c r="C30" s="1" t="s">
        <v>274</v>
      </c>
      <c r="D30" s="15">
        <f t="shared" si="9"/>
        <v>57.72357723577236</v>
      </c>
      <c r="E30" s="15">
        <v>52.032520325203258</v>
      </c>
      <c r="F30" s="15">
        <v>5.6910569105691051</v>
      </c>
      <c r="G30" s="12">
        <v>55</v>
      </c>
      <c r="H30" s="15">
        <v>85.820895522388057</v>
      </c>
      <c r="I30" s="12">
        <f t="shared" si="7"/>
        <v>3</v>
      </c>
      <c r="J30" s="12" t="str">
        <f t="shared" si="8"/>
        <v>Đạt</v>
      </c>
      <c r="K30" s="10"/>
      <c r="L30" s="96">
        <f t="shared" si="6"/>
        <v>57.7</v>
      </c>
      <c r="M30" s="10">
        <v>52</v>
      </c>
      <c r="N30" s="10">
        <v>5.7</v>
      </c>
      <c r="O30" s="12">
        <v>55</v>
      </c>
      <c r="P30" s="97">
        <v>85.820895522388057</v>
      </c>
      <c r="Q30" s="12">
        <f t="shared" si="10"/>
        <v>3</v>
      </c>
      <c r="R30" s="12" t="str">
        <f t="shared" si="11"/>
        <v>Đạt</v>
      </c>
      <c r="S30" s="10"/>
      <c r="T30" s="95"/>
    </row>
    <row r="31" spans="1:21" s="84" customFormat="1" ht="30" hidden="1" x14ac:dyDescent="0.25">
      <c r="A31" s="9" t="s">
        <v>157</v>
      </c>
      <c r="B31" s="1"/>
      <c r="C31" s="1" t="s">
        <v>275</v>
      </c>
      <c r="D31" s="15">
        <f t="shared" si="9"/>
        <v>51.96078431372549</v>
      </c>
      <c r="E31" s="15">
        <v>50</v>
      </c>
      <c r="F31" s="15">
        <v>1.9607843137254901</v>
      </c>
      <c r="G31" s="12">
        <v>50</v>
      </c>
      <c r="H31" s="15">
        <v>73.451327433628322</v>
      </c>
      <c r="I31" s="12">
        <f t="shared" si="7"/>
        <v>3</v>
      </c>
      <c r="J31" s="12" t="str">
        <f t="shared" si="8"/>
        <v>Đạt</v>
      </c>
      <c r="K31" s="10"/>
      <c r="L31" s="96">
        <f t="shared" si="6"/>
        <v>52</v>
      </c>
      <c r="M31" s="10">
        <v>50</v>
      </c>
      <c r="N31" s="10">
        <v>2</v>
      </c>
      <c r="O31" s="12">
        <v>50</v>
      </c>
      <c r="P31" s="97">
        <v>73.451327433628322</v>
      </c>
      <c r="Q31" s="12">
        <f t="shared" si="10"/>
        <v>3</v>
      </c>
      <c r="R31" s="12" t="str">
        <f t="shared" si="11"/>
        <v>Đạt</v>
      </c>
      <c r="S31" s="10"/>
      <c r="T31" s="95"/>
    </row>
    <row r="32" spans="1:21" s="84" customFormat="1" hidden="1" x14ac:dyDescent="0.25">
      <c r="A32" s="9" t="s">
        <v>158</v>
      </c>
      <c r="B32" s="1"/>
      <c r="C32" s="1" t="s">
        <v>276</v>
      </c>
      <c r="D32" s="15">
        <f t="shared" si="9"/>
        <v>10.526315789473683</v>
      </c>
      <c r="E32" s="15">
        <v>5.2631578947368416</v>
      </c>
      <c r="F32" s="15">
        <v>5.2631578947368416</v>
      </c>
      <c r="G32" s="12">
        <v>59.4</v>
      </c>
      <c r="H32" s="15">
        <v>71.15384615384616</v>
      </c>
      <c r="I32" s="12">
        <f t="shared" si="7"/>
        <v>2</v>
      </c>
      <c r="J32" s="12" t="str">
        <f t="shared" si="8"/>
        <v>Đạt</v>
      </c>
      <c r="K32" s="10"/>
      <c r="L32" s="96">
        <f t="shared" si="6"/>
        <v>10.6</v>
      </c>
      <c r="M32" s="10">
        <v>5.3</v>
      </c>
      <c r="N32" s="10">
        <v>5.3</v>
      </c>
      <c r="O32" s="12">
        <v>59.4</v>
      </c>
      <c r="P32" s="97">
        <v>71.153846153846146</v>
      </c>
      <c r="Q32" s="12">
        <f t="shared" si="10"/>
        <v>2</v>
      </c>
      <c r="R32" s="12" t="str">
        <f t="shared" si="11"/>
        <v>Đạt</v>
      </c>
      <c r="S32" s="10"/>
      <c r="T32" s="95"/>
    </row>
    <row r="33" spans="1:21" s="84" customFormat="1" ht="30" hidden="1" x14ac:dyDescent="0.25">
      <c r="A33" s="9" t="s">
        <v>159</v>
      </c>
      <c r="B33" s="1"/>
      <c r="C33" s="1" t="s">
        <v>277</v>
      </c>
      <c r="D33" s="15">
        <f t="shared" si="9"/>
        <v>47.297297297297291</v>
      </c>
      <c r="E33" s="15">
        <v>36.486486486486484</v>
      </c>
      <c r="F33" s="15">
        <v>10.810810810810811</v>
      </c>
      <c r="G33" s="12">
        <v>59.6</v>
      </c>
      <c r="H33" s="15">
        <v>0</v>
      </c>
      <c r="I33" s="12">
        <f t="shared" si="7"/>
        <v>3</v>
      </c>
      <c r="J33" s="12" t="str">
        <f t="shared" si="8"/>
        <v>Đạt</v>
      </c>
      <c r="K33" s="10"/>
      <c r="L33" s="96">
        <f t="shared" si="6"/>
        <v>47.3</v>
      </c>
      <c r="M33" s="10">
        <v>36.5</v>
      </c>
      <c r="N33" s="10">
        <v>10.8</v>
      </c>
      <c r="O33" s="12">
        <v>59.6</v>
      </c>
      <c r="P33" s="97">
        <v>0</v>
      </c>
      <c r="Q33" s="12">
        <f t="shared" si="10"/>
        <v>3</v>
      </c>
      <c r="R33" s="12" t="str">
        <f t="shared" si="11"/>
        <v>Đạt</v>
      </c>
      <c r="S33" s="10"/>
      <c r="T33" s="95"/>
    </row>
    <row r="34" spans="1:21" s="84" customFormat="1" hidden="1" x14ac:dyDescent="0.25">
      <c r="A34" s="9" t="s">
        <v>160</v>
      </c>
      <c r="B34" s="1"/>
      <c r="C34" s="1" t="s">
        <v>278</v>
      </c>
      <c r="D34" s="15">
        <f t="shared" si="9"/>
        <v>11.764705882352942</v>
      </c>
      <c r="E34" s="15">
        <v>2.9411764705882351</v>
      </c>
      <c r="F34" s="15">
        <v>8.8235294117647065</v>
      </c>
      <c r="G34" s="12">
        <v>59.4</v>
      </c>
      <c r="H34" s="15">
        <v>80.952380952380949</v>
      </c>
      <c r="I34" s="12">
        <f t="shared" si="7"/>
        <v>2</v>
      </c>
      <c r="J34" s="12" t="str">
        <f t="shared" si="8"/>
        <v>Đạt</v>
      </c>
      <c r="K34" s="10"/>
      <c r="L34" s="96">
        <f t="shared" si="6"/>
        <v>11.700000000000001</v>
      </c>
      <c r="M34" s="10">
        <v>2.9</v>
      </c>
      <c r="N34" s="10">
        <v>8.8000000000000007</v>
      </c>
      <c r="O34" s="12">
        <v>59.4</v>
      </c>
      <c r="P34" s="97">
        <v>80.952380952380949</v>
      </c>
      <c r="Q34" s="12">
        <f t="shared" si="10"/>
        <v>2</v>
      </c>
      <c r="R34" s="12" t="str">
        <f t="shared" si="11"/>
        <v>Đạt</v>
      </c>
      <c r="S34" s="10"/>
      <c r="T34" s="95"/>
    </row>
    <row r="35" spans="1:21" s="84" customFormat="1" hidden="1" x14ac:dyDescent="0.25">
      <c r="A35" s="9" t="s">
        <v>161</v>
      </c>
      <c r="B35" s="1"/>
      <c r="C35" s="1" t="s">
        <v>279</v>
      </c>
      <c r="D35" s="15">
        <f t="shared" si="9"/>
        <v>60.897435897435898</v>
      </c>
      <c r="E35" s="15">
        <v>48.07692307692308</v>
      </c>
      <c r="F35" s="15">
        <v>12.820512820512819</v>
      </c>
      <c r="G35" s="12">
        <v>55</v>
      </c>
      <c r="H35" s="15">
        <v>88.372093023255815</v>
      </c>
      <c r="I35" s="12">
        <f t="shared" si="7"/>
        <v>3</v>
      </c>
      <c r="J35" s="12" t="str">
        <f t="shared" si="8"/>
        <v>Đạt</v>
      </c>
      <c r="K35" s="10"/>
      <c r="L35" s="96">
        <f t="shared" si="6"/>
        <v>60.900000000000006</v>
      </c>
      <c r="M35" s="10">
        <v>48.1</v>
      </c>
      <c r="N35" s="10">
        <v>12.8</v>
      </c>
      <c r="O35" s="12">
        <v>55</v>
      </c>
      <c r="P35" s="97">
        <v>88.372093023255815</v>
      </c>
      <c r="Q35" s="12">
        <f t="shared" si="10"/>
        <v>3</v>
      </c>
      <c r="R35" s="12" t="str">
        <f t="shared" si="11"/>
        <v>Đạt</v>
      </c>
      <c r="S35" s="10"/>
      <c r="T35" s="95"/>
    </row>
    <row r="36" spans="1:21" s="84" customFormat="1" hidden="1" x14ac:dyDescent="0.25">
      <c r="A36" s="9" t="s">
        <v>162</v>
      </c>
      <c r="B36" s="1"/>
      <c r="C36" s="1" t="s">
        <v>280</v>
      </c>
      <c r="D36" s="15">
        <f t="shared" si="9"/>
        <v>72.815533980582529</v>
      </c>
      <c r="E36" s="15">
        <v>53.398058252427184</v>
      </c>
      <c r="F36" s="15">
        <v>19.417475728155338</v>
      </c>
      <c r="G36" s="12">
        <v>62</v>
      </c>
      <c r="H36" s="15">
        <v>64.516129032258064</v>
      </c>
      <c r="I36" s="12">
        <f t="shared" si="7"/>
        <v>2</v>
      </c>
      <c r="J36" s="12" t="str">
        <f t="shared" si="8"/>
        <v>Đạt</v>
      </c>
      <c r="K36" s="10"/>
      <c r="L36" s="96">
        <f t="shared" si="6"/>
        <v>72.8</v>
      </c>
      <c r="M36" s="10">
        <v>53.4</v>
      </c>
      <c r="N36" s="10">
        <v>19.399999999999999</v>
      </c>
      <c r="O36" s="12">
        <v>62</v>
      </c>
      <c r="P36" s="97">
        <v>64.516129032258064</v>
      </c>
      <c r="Q36" s="12">
        <f t="shared" si="10"/>
        <v>2</v>
      </c>
      <c r="R36" s="12" t="str">
        <f t="shared" si="11"/>
        <v>Đạt</v>
      </c>
      <c r="S36" s="10"/>
      <c r="T36" s="95"/>
    </row>
    <row r="37" spans="1:21" s="84" customFormat="1" hidden="1" x14ac:dyDescent="0.25">
      <c r="A37" s="9" t="s">
        <v>163</v>
      </c>
      <c r="B37" s="1"/>
      <c r="C37" s="1" t="s">
        <v>281</v>
      </c>
      <c r="D37" s="15">
        <f t="shared" si="9"/>
        <v>65.625</v>
      </c>
      <c r="E37" s="15">
        <v>49.375</v>
      </c>
      <c r="F37" s="15">
        <v>16.25</v>
      </c>
      <c r="G37" s="12">
        <v>64</v>
      </c>
      <c r="H37" s="15">
        <v>50.285714285714292</v>
      </c>
      <c r="I37" s="12">
        <f t="shared" si="7"/>
        <v>2</v>
      </c>
      <c r="J37" s="12" t="str">
        <f t="shared" si="8"/>
        <v>Đạt</v>
      </c>
      <c r="K37" s="10"/>
      <c r="L37" s="96">
        <f t="shared" si="6"/>
        <v>65.7</v>
      </c>
      <c r="M37" s="10">
        <v>49.4</v>
      </c>
      <c r="N37" s="10">
        <v>16.3</v>
      </c>
      <c r="O37" s="12">
        <v>64</v>
      </c>
      <c r="P37" s="97">
        <v>50.285714285714285</v>
      </c>
      <c r="Q37" s="12">
        <f t="shared" si="10"/>
        <v>2</v>
      </c>
      <c r="R37" s="12" t="str">
        <f t="shared" si="11"/>
        <v>Đạt</v>
      </c>
      <c r="S37" s="10"/>
      <c r="T37" s="95"/>
    </row>
    <row r="38" spans="1:21" s="84" customFormat="1" hidden="1" x14ac:dyDescent="0.25">
      <c r="A38" s="9" t="s">
        <v>164</v>
      </c>
      <c r="B38" s="1"/>
      <c r="C38" s="1" t="s">
        <v>282</v>
      </c>
      <c r="D38" s="15">
        <f t="shared" si="9"/>
        <v>62.711864406779668</v>
      </c>
      <c r="E38" s="15">
        <v>52.542372881355938</v>
      </c>
      <c r="F38" s="15">
        <v>10.16949152542373</v>
      </c>
      <c r="G38" s="12">
        <v>59.6</v>
      </c>
      <c r="H38" s="15">
        <v>85.294117647058826</v>
      </c>
      <c r="I38" s="12">
        <f t="shared" si="7"/>
        <v>3</v>
      </c>
      <c r="J38" s="12" t="str">
        <f t="shared" si="8"/>
        <v>Đạt</v>
      </c>
      <c r="K38" s="10"/>
      <c r="L38" s="96">
        <f t="shared" si="6"/>
        <v>62.7</v>
      </c>
      <c r="M38" s="10">
        <v>52.5</v>
      </c>
      <c r="N38" s="10">
        <v>10.199999999999999</v>
      </c>
      <c r="O38" s="12">
        <v>59.6</v>
      </c>
      <c r="P38" s="97">
        <v>85.294117647058812</v>
      </c>
      <c r="Q38" s="12">
        <f t="shared" si="10"/>
        <v>3</v>
      </c>
      <c r="R38" s="12" t="str">
        <f t="shared" si="11"/>
        <v>Đạt</v>
      </c>
      <c r="S38" s="10"/>
      <c r="T38" s="95"/>
    </row>
    <row r="39" spans="1:21" s="84" customFormat="1" hidden="1" x14ac:dyDescent="0.25">
      <c r="A39" s="9" t="s">
        <v>165</v>
      </c>
      <c r="B39" s="1"/>
      <c r="C39" s="1" t="s">
        <v>283</v>
      </c>
      <c r="D39" s="15">
        <f t="shared" si="9"/>
        <v>68.205128205128204</v>
      </c>
      <c r="E39" s="15">
        <v>49.230769230769234</v>
      </c>
      <c r="F39" s="15">
        <v>18.974358974358974</v>
      </c>
      <c r="G39" s="12">
        <v>58</v>
      </c>
      <c r="H39" s="15">
        <v>90.291262135922338</v>
      </c>
      <c r="I39" s="12">
        <f t="shared" si="7"/>
        <v>2</v>
      </c>
      <c r="J39" s="12" t="str">
        <f t="shared" si="8"/>
        <v>Đạt</v>
      </c>
      <c r="K39" s="10"/>
      <c r="L39" s="96">
        <f t="shared" si="6"/>
        <v>68.2</v>
      </c>
      <c r="M39" s="10">
        <v>49.2</v>
      </c>
      <c r="N39" s="10">
        <v>19</v>
      </c>
      <c r="O39" s="12">
        <v>58</v>
      </c>
      <c r="P39" s="97">
        <v>90.291262135922324</v>
      </c>
      <c r="Q39" s="12">
        <f t="shared" si="10"/>
        <v>2</v>
      </c>
      <c r="R39" s="12" t="str">
        <f t="shared" si="11"/>
        <v>Đạt</v>
      </c>
      <c r="S39" s="10"/>
      <c r="T39" s="95"/>
    </row>
    <row r="40" spans="1:21" s="84" customFormat="1" hidden="1" x14ac:dyDescent="0.25">
      <c r="A40" s="9" t="s">
        <v>166</v>
      </c>
      <c r="B40" s="1"/>
      <c r="C40" s="1" t="s">
        <v>284</v>
      </c>
      <c r="D40" s="15">
        <f t="shared" si="9"/>
        <v>10.465116279069766</v>
      </c>
      <c r="E40" s="15">
        <v>8.720930232558139</v>
      </c>
      <c r="F40" s="15">
        <v>1.7441860465116279</v>
      </c>
      <c r="G40" s="12">
        <v>59</v>
      </c>
      <c r="H40" s="15">
        <v>83.333333333333343</v>
      </c>
      <c r="I40" s="12">
        <f t="shared" si="7"/>
        <v>2</v>
      </c>
      <c r="J40" s="12" t="str">
        <f t="shared" si="8"/>
        <v>Đạt</v>
      </c>
      <c r="K40" s="10"/>
      <c r="L40" s="96">
        <f t="shared" si="6"/>
        <v>10.399999999999999</v>
      </c>
      <c r="M40" s="10">
        <v>8.6999999999999993</v>
      </c>
      <c r="N40" s="10">
        <v>1.7</v>
      </c>
      <c r="O40" s="12">
        <v>59</v>
      </c>
      <c r="P40" s="97">
        <v>83.333333333333329</v>
      </c>
      <c r="Q40" s="12">
        <f t="shared" si="10"/>
        <v>2</v>
      </c>
      <c r="R40" s="12" t="str">
        <f t="shared" si="11"/>
        <v>Đạt</v>
      </c>
      <c r="S40" s="10"/>
      <c r="T40" s="95"/>
    </row>
    <row r="41" spans="1:21" s="84" customFormat="1" hidden="1" x14ac:dyDescent="0.25">
      <c r="A41" s="9" t="s">
        <v>167</v>
      </c>
      <c r="B41" s="1"/>
      <c r="C41" s="1" t="s">
        <v>285</v>
      </c>
      <c r="D41" s="15">
        <f t="shared" si="9"/>
        <v>11.111111111111111</v>
      </c>
      <c r="E41" s="15">
        <v>10.256410256410255</v>
      </c>
      <c r="F41" s="15">
        <v>0.85470085470085477</v>
      </c>
      <c r="G41" s="12">
        <v>58.7</v>
      </c>
      <c r="H41" s="15">
        <v>73.80952380952381</v>
      </c>
      <c r="I41" s="12">
        <f t="shared" si="7"/>
        <v>2</v>
      </c>
      <c r="J41" s="12" t="str">
        <f t="shared" si="8"/>
        <v>Đạt</v>
      </c>
      <c r="K41" s="10"/>
      <c r="L41" s="96">
        <f t="shared" si="6"/>
        <v>11.200000000000001</v>
      </c>
      <c r="M41" s="10">
        <v>10.3</v>
      </c>
      <c r="N41" s="10">
        <v>0.9</v>
      </c>
      <c r="O41" s="12">
        <v>58.7</v>
      </c>
      <c r="P41" s="97">
        <v>73.80952380952381</v>
      </c>
      <c r="Q41" s="12">
        <f t="shared" si="10"/>
        <v>2</v>
      </c>
      <c r="R41" s="12" t="str">
        <f t="shared" si="11"/>
        <v>Đạt</v>
      </c>
      <c r="S41" s="10"/>
      <c r="T41" s="95"/>
    </row>
    <row r="42" spans="1:21" s="84" customFormat="1" ht="30" hidden="1" x14ac:dyDescent="0.25">
      <c r="A42" s="9" t="s">
        <v>168</v>
      </c>
      <c r="B42" s="1"/>
      <c r="C42" s="1" t="s">
        <v>286</v>
      </c>
      <c r="D42" s="15">
        <f t="shared" si="9"/>
        <v>11.363636363636365</v>
      </c>
      <c r="E42" s="15">
        <v>9.0909090909090917</v>
      </c>
      <c r="F42" s="15">
        <v>2.2727272727272729</v>
      </c>
      <c r="G42" s="12">
        <v>59.5</v>
      </c>
      <c r="H42" s="15">
        <v>80.769230769230774</v>
      </c>
      <c r="I42" s="12">
        <f t="shared" si="7"/>
        <v>2</v>
      </c>
      <c r="J42" s="12" t="str">
        <f t="shared" si="8"/>
        <v>Đạt</v>
      </c>
      <c r="K42" s="10"/>
      <c r="L42" s="96">
        <f t="shared" si="6"/>
        <v>11.399999999999999</v>
      </c>
      <c r="M42" s="10">
        <v>9.1</v>
      </c>
      <c r="N42" s="10">
        <v>2.2999999999999998</v>
      </c>
      <c r="O42" s="12">
        <v>59.5</v>
      </c>
      <c r="P42" s="97">
        <v>72.916666666666671</v>
      </c>
      <c r="Q42" s="12">
        <f t="shared" si="10"/>
        <v>2</v>
      </c>
      <c r="R42" s="12" t="str">
        <f t="shared" si="11"/>
        <v>Đạt</v>
      </c>
      <c r="S42" s="10"/>
      <c r="T42" s="95"/>
    </row>
    <row r="43" spans="1:21" s="84" customFormat="1" hidden="1" x14ac:dyDescent="0.25">
      <c r="A43" s="9" t="s">
        <v>169</v>
      </c>
      <c r="B43" s="1"/>
      <c r="C43" s="1" t="s">
        <v>287</v>
      </c>
      <c r="D43" s="15">
        <f t="shared" si="9"/>
        <v>51.116071428571423</v>
      </c>
      <c r="E43" s="15">
        <v>50.446428571428569</v>
      </c>
      <c r="F43" s="15">
        <v>0.6696428571428571</v>
      </c>
      <c r="G43" s="12">
        <v>58</v>
      </c>
      <c r="H43" s="15">
        <v>72.916666666666657</v>
      </c>
      <c r="I43" s="12">
        <f t="shared" si="7"/>
        <v>3</v>
      </c>
      <c r="J43" s="12" t="str">
        <f t="shared" si="8"/>
        <v>Đạt</v>
      </c>
      <c r="K43" s="10"/>
      <c r="L43" s="96">
        <f t="shared" si="6"/>
        <v>51.1</v>
      </c>
      <c r="M43" s="10">
        <v>50.4</v>
      </c>
      <c r="N43" s="10">
        <v>0.7</v>
      </c>
      <c r="O43" s="12">
        <v>58</v>
      </c>
      <c r="P43" s="97">
        <v>72.916666666666671</v>
      </c>
      <c r="Q43" s="12">
        <f t="shared" si="10"/>
        <v>3</v>
      </c>
      <c r="R43" s="12" t="str">
        <f t="shared" si="11"/>
        <v>Đạt</v>
      </c>
      <c r="S43" s="10"/>
      <c r="T43" s="95"/>
    </row>
    <row r="44" spans="1:21" s="100" customFormat="1" x14ac:dyDescent="0.25">
      <c r="A44" s="19" t="s">
        <v>6</v>
      </c>
      <c r="B44" s="20" t="s">
        <v>54</v>
      </c>
      <c r="C44" s="20"/>
      <c r="D44" s="22"/>
      <c r="E44" s="104"/>
      <c r="F44" s="104"/>
      <c r="G44" s="22"/>
      <c r="H44" s="22"/>
      <c r="I44" s="22"/>
      <c r="J44" s="22"/>
      <c r="K44" s="90">
        <f>COUNTIF(J45:J62,"Đạt")</f>
        <v>18</v>
      </c>
      <c r="L44" s="98">
        <f t="shared" ref="L44:L62" si="12">M44+N44</f>
        <v>0</v>
      </c>
      <c r="M44" s="90"/>
      <c r="N44" s="90"/>
      <c r="O44" s="22"/>
      <c r="P44" s="99"/>
      <c r="Q44" s="89"/>
      <c r="R44" s="89"/>
      <c r="S44" s="90" t="s">
        <v>1206</v>
      </c>
      <c r="U44" s="84"/>
    </row>
    <row r="45" spans="1:21" s="95" customFormat="1" hidden="1" x14ac:dyDescent="0.25">
      <c r="A45" s="9" t="s">
        <v>148</v>
      </c>
      <c r="B45" s="13"/>
      <c r="C45" s="1" t="s">
        <v>353</v>
      </c>
      <c r="D45" s="12">
        <f>E45+F45</f>
        <v>29</v>
      </c>
      <c r="E45" s="83">
        <v>26</v>
      </c>
      <c r="F45" s="83">
        <v>3</v>
      </c>
      <c r="G45" s="12">
        <v>55.7</v>
      </c>
      <c r="H45" s="12">
        <v>83</v>
      </c>
      <c r="I45" s="12">
        <f>SUM((IF(D45&gt;=16.24,1,0))+(IF(G45&lt;60,1,0))+(IF(H45&lt;90,1,0)))</f>
        <v>3</v>
      </c>
      <c r="J45" s="12" t="str">
        <f>IF(I45&gt;=2,"Đạt","Không đạt")</f>
        <v>Đạt</v>
      </c>
      <c r="K45" s="14"/>
      <c r="L45" s="96">
        <f t="shared" si="12"/>
        <v>29</v>
      </c>
      <c r="M45" s="10">
        <v>26</v>
      </c>
      <c r="N45" s="10">
        <v>3</v>
      </c>
      <c r="O45" s="12">
        <v>55.7</v>
      </c>
      <c r="P45" s="97">
        <v>100</v>
      </c>
      <c r="Q45" s="12">
        <f t="shared" ref="Q45:Q62" si="13">SUM((IF(L45&gt;=16.24,1,0))+(IF(O45&lt;60,1,0))+(IF(P45&lt;90,1,0)))</f>
        <v>2</v>
      </c>
      <c r="R45" s="12" t="str">
        <f t="shared" ref="R45:R62" si="14">IF(Q45&gt;=2,"Đạt","Không đạt")</f>
        <v>Đạt</v>
      </c>
      <c r="S45" s="14"/>
      <c r="U45" s="84"/>
    </row>
    <row r="46" spans="1:21" s="95" customFormat="1" hidden="1" x14ac:dyDescent="0.25">
      <c r="A46" s="9" t="s">
        <v>149</v>
      </c>
      <c r="B46" s="13"/>
      <c r="C46" s="1" t="s">
        <v>354</v>
      </c>
      <c r="D46" s="12">
        <f t="shared" ref="D46:D62" si="15">E46+F46</f>
        <v>28.36</v>
      </c>
      <c r="E46" s="83">
        <v>25.37</v>
      </c>
      <c r="F46" s="83">
        <v>2.99</v>
      </c>
      <c r="G46" s="12">
        <v>56.2</v>
      </c>
      <c r="H46" s="12">
        <v>83</v>
      </c>
      <c r="I46" s="12">
        <f t="shared" ref="I46:I62" si="16">SUM((IF(D46&gt;=16.24,1,0))+(IF(G46&lt;60,1,0))+(IF(H46&lt;90,1,0)))</f>
        <v>3</v>
      </c>
      <c r="J46" s="12" t="str">
        <f t="shared" ref="J46:J62" si="17">IF(I46&gt;=2,"Đạt","Không đạt")</f>
        <v>Đạt</v>
      </c>
      <c r="K46" s="14"/>
      <c r="L46" s="96">
        <f t="shared" si="12"/>
        <v>28.36</v>
      </c>
      <c r="M46" s="10">
        <v>25.37</v>
      </c>
      <c r="N46" s="10">
        <v>2.99</v>
      </c>
      <c r="O46" s="12">
        <v>56.2</v>
      </c>
      <c r="P46" s="97">
        <v>100</v>
      </c>
      <c r="Q46" s="12">
        <f t="shared" si="13"/>
        <v>2</v>
      </c>
      <c r="R46" s="12" t="str">
        <f t="shared" si="14"/>
        <v>Đạt</v>
      </c>
      <c r="S46" s="14"/>
      <c r="U46" s="84"/>
    </row>
    <row r="47" spans="1:21" s="95" customFormat="1" ht="30" x14ac:dyDescent="0.25">
      <c r="A47" s="9" t="s">
        <v>150</v>
      </c>
      <c r="B47" s="13"/>
      <c r="C47" s="1" t="s">
        <v>355</v>
      </c>
      <c r="D47" s="12">
        <f t="shared" si="15"/>
        <v>12.05</v>
      </c>
      <c r="E47" s="83">
        <v>9.64</v>
      </c>
      <c r="F47" s="83">
        <v>2.41</v>
      </c>
      <c r="G47" s="12">
        <v>58.3</v>
      </c>
      <c r="H47" s="12">
        <v>85</v>
      </c>
      <c r="I47" s="12">
        <f t="shared" si="16"/>
        <v>2</v>
      </c>
      <c r="J47" s="12" t="str">
        <f t="shared" si="17"/>
        <v>Đạt</v>
      </c>
      <c r="K47" s="14"/>
      <c r="L47" s="96">
        <f t="shared" si="12"/>
        <v>12.05</v>
      </c>
      <c r="M47" s="10">
        <v>9.64</v>
      </c>
      <c r="N47" s="10">
        <v>2.41</v>
      </c>
      <c r="O47" s="12">
        <v>58.3</v>
      </c>
      <c r="P47" s="97">
        <v>100</v>
      </c>
      <c r="Q47" s="12">
        <f t="shared" si="13"/>
        <v>1</v>
      </c>
      <c r="R47" s="12" t="str">
        <f t="shared" si="14"/>
        <v>Không đạt</v>
      </c>
      <c r="S47" s="10" t="s">
        <v>1185</v>
      </c>
      <c r="U47" s="84"/>
    </row>
    <row r="48" spans="1:21" s="95" customFormat="1" ht="30" hidden="1" x14ac:dyDescent="0.25">
      <c r="A48" s="9" t="s">
        <v>151</v>
      </c>
      <c r="B48" s="13"/>
      <c r="C48" s="1" t="s">
        <v>356</v>
      </c>
      <c r="D48" s="12">
        <f>E48+F48</f>
        <v>34.480000000000004</v>
      </c>
      <c r="E48" s="83">
        <v>31.03</v>
      </c>
      <c r="F48" s="83">
        <v>3.45</v>
      </c>
      <c r="G48" s="12">
        <v>0</v>
      </c>
      <c r="H48" s="12">
        <v>82</v>
      </c>
      <c r="I48" s="12">
        <f t="shared" si="16"/>
        <v>3</v>
      </c>
      <c r="J48" s="12" t="str">
        <f t="shared" si="17"/>
        <v>Đạt</v>
      </c>
      <c r="K48" s="14"/>
      <c r="L48" s="96">
        <f t="shared" si="12"/>
        <v>34.480000000000004</v>
      </c>
      <c r="M48" s="10">
        <v>31.03</v>
      </c>
      <c r="N48" s="10">
        <v>3.45</v>
      </c>
      <c r="O48" s="12">
        <v>0</v>
      </c>
      <c r="P48" s="97">
        <v>100</v>
      </c>
      <c r="Q48" s="12">
        <f t="shared" si="13"/>
        <v>2</v>
      </c>
      <c r="R48" s="12" t="str">
        <f t="shared" si="14"/>
        <v>Đạt</v>
      </c>
      <c r="S48" s="14"/>
      <c r="U48" s="84"/>
    </row>
    <row r="49" spans="1:21" s="95" customFormat="1" hidden="1" x14ac:dyDescent="0.25">
      <c r="A49" s="9" t="s">
        <v>152</v>
      </c>
      <c r="B49" s="13"/>
      <c r="C49" s="1" t="s">
        <v>357</v>
      </c>
      <c r="D49" s="12">
        <f t="shared" si="15"/>
        <v>60.34</v>
      </c>
      <c r="E49" s="83">
        <v>56.89</v>
      </c>
      <c r="F49" s="83">
        <v>3.45</v>
      </c>
      <c r="G49" s="12">
        <v>57.1</v>
      </c>
      <c r="H49" s="12">
        <v>80</v>
      </c>
      <c r="I49" s="12">
        <f t="shared" si="16"/>
        <v>3</v>
      </c>
      <c r="J49" s="12" t="str">
        <f t="shared" si="17"/>
        <v>Đạt</v>
      </c>
      <c r="K49" s="14"/>
      <c r="L49" s="96">
        <f t="shared" si="12"/>
        <v>61.68</v>
      </c>
      <c r="M49" s="10">
        <v>56.89</v>
      </c>
      <c r="N49" s="10">
        <v>4.79</v>
      </c>
      <c r="O49" s="12">
        <v>57.1</v>
      </c>
      <c r="P49" s="97">
        <v>100</v>
      </c>
      <c r="Q49" s="12">
        <f t="shared" si="13"/>
        <v>2</v>
      </c>
      <c r="R49" s="12" t="str">
        <f t="shared" si="14"/>
        <v>Đạt</v>
      </c>
      <c r="S49" s="14"/>
      <c r="U49" s="84"/>
    </row>
    <row r="50" spans="1:21" s="95" customFormat="1" hidden="1" x14ac:dyDescent="0.25">
      <c r="A50" s="9" t="s">
        <v>153</v>
      </c>
      <c r="B50" s="13"/>
      <c r="C50" s="1" t="s">
        <v>358</v>
      </c>
      <c r="D50" s="12">
        <f t="shared" si="15"/>
        <v>72.36</v>
      </c>
      <c r="E50" s="83">
        <v>67.53</v>
      </c>
      <c r="F50" s="83">
        <v>4.83</v>
      </c>
      <c r="G50" s="12">
        <v>56.4</v>
      </c>
      <c r="H50" s="12">
        <v>80</v>
      </c>
      <c r="I50" s="12">
        <f t="shared" si="16"/>
        <v>3</v>
      </c>
      <c r="J50" s="12" t="str">
        <f t="shared" si="17"/>
        <v>Đạt</v>
      </c>
      <c r="K50" s="14"/>
      <c r="L50" s="96">
        <f t="shared" si="12"/>
        <v>72.72</v>
      </c>
      <c r="M50" s="10">
        <v>67.53</v>
      </c>
      <c r="N50" s="10">
        <v>5.19</v>
      </c>
      <c r="O50" s="12">
        <v>56.4</v>
      </c>
      <c r="P50" s="97">
        <v>100</v>
      </c>
      <c r="Q50" s="12">
        <f t="shared" si="13"/>
        <v>2</v>
      </c>
      <c r="R50" s="12" t="str">
        <f t="shared" si="14"/>
        <v>Đạt</v>
      </c>
      <c r="S50" s="14"/>
      <c r="U50" s="84"/>
    </row>
    <row r="51" spans="1:21" s="95" customFormat="1" hidden="1" x14ac:dyDescent="0.25">
      <c r="A51" s="9" t="s">
        <v>154</v>
      </c>
      <c r="B51" s="13"/>
      <c r="C51" s="1" t="s">
        <v>359</v>
      </c>
      <c r="D51" s="12">
        <f t="shared" si="15"/>
        <v>69.400000000000006</v>
      </c>
      <c r="E51" s="83">
        <v>63.63</v>
      </c>
      <c r="F51" s="83">
        <v>5.77</v>
      </c>
      <c r="G51" s="12">
        <v>0</v>
      </c>
      <c r="H51" s="12">
        <v>80</v>
      </c>
      <c r="I51" s="12">
        <f t="shared" si="16"/>
        <v>3</v>
      </c>
      <c r="J51" s="12" t="str">
        <f t="shared" si="17"/>
        <v>Đạt</v>
      </c>
      <c r="K51" s="14"/>
      <c r="L51" s="96">
        <f t="shared" si="12"/>
        <v>69.7</v>
      </c>
      <c r="M51" s="10">
        <v>63.64</v>
      </c>
      <c r="N51" s="10">
        <v>6.06</v>
      </c>
      <c r="O51" s="12">
        <v>0</v>
      </c>
      <c r="P51" s="97">
        <v>100</v>
      </c>
      <c r="Q51" s="12">
        <f t="shared" si="13"/>
        <v>2</v>
      </c>
      <c r="R51" s="12" t="str">
        <f t="shared" si="14"/>
        <v>Đạt</v>
      </c>
      <c r="S51" s="14"/>
      <c r="U51" s="84"/>
    </row>
    <row r="52" spans="1:21" s="95" customFormat="1" hidden="1" x14ac:dyDescent="0.25">
      <c r="A52" s="9" t="s">
        <v>155</v>
      </c>
      <c r="B52" s="13"/>
      <c r="C52" s="1" t="s">
        <v>360</v>
      </c>
      <c r="D52" s="12">
        <f t="shared" si="15"/>
        <v>74.41</v>
      </c>
      <c r="E52" s="83">
        <v>68</v>
      </c>
      <c r="F52" s="83">
        <v>6.41</v>
      </c>
      <c r="G52" s="12">
        <v>0</v>
      </c>
      <c r="H52" s="12">
        <v>80</v>
      </c>
      <c r="I52" s="12">
        <f t="shared" si="16"/>
        <v>3</v>
      </c>
      <c r="J52" s="12" t="str">
        <f t="shared" si="17"/>
        <v>Đạt</v>
      </c>
      <c r="K52" s="14"/>
      <c r="L52" s="96">
        <f t="shared" si="12"/>
        <v>73</v>
      </c>
      <c r="M52" s="10">
        <v>68</v>
      </c>
      <c r="N52" s="10">
        <v>5</v>
      </c>
      <c r="O52" s="12">
        <v>0</v>
      </c>
      <c r="P52" s="97">
        <v>100</v>
      </c>
      <c r="Q52" s="12">
        <f t="shared" si="13"/>
        <v>2</v>
      </c>
      <c r="R52" s="12" t="str">
        <f t="shared" si="14"/>
        <v>Đạt</v>
      </c>
      <c r="S52" s="14"/>
      <c r="U52" s="84"/>
    </row>
    <row r="53" spans="1:21" s="95" customFormat="1" hidden="1" x14ac:dyDescent="0.25">
      <c r="A53" s="9" t="s">
        <v>156</v>
      </c>
      <c r="B53" s="13"/>
      <c r="C53" s="1" t="s">
        <v>361</v>
      </c>
      <c r="D53" s="12">
        <f t="shared" si="15"/>
        <v>60.099999999999994</v>
      </c>
      <c r="E53" s="83">
        <v>52.83</v>
      </c>
      <c r="F53" s="83">
        <v>7.27</v>
      </c>
      <c r="G53" s="12">
        <v>55.3</v>
      </c>
      <c r="H53" s="12">
        <v>80</v>
      </c>
      <c r="I53" s="12">
        <f t="shared" si="16"/>
        <v>3</v>
      </c>
      <c r="J53" s="12" t="str">
        <f t="shared" si="17"/>
        <v>Đạt</v>
      </c>
      <c r="K53" s="14"/>
      <c r="L53" s="96">
        <f t="shared" si="12"/>
        <v>60.379999999999995</v>
      </c>
      <c r="M53" s="10">
        <v>52.83</v>
      </c>
      <c r="N53" s="10">
        <v>7.55</v>
      </c>
      <c r="O53" s="12">
        <v>55.3</v>
      </c>
      <c r="P53" s="97">
        <v>100</v>
      </c>
      <c r="Q53" s="12">
        <f t="shared" si="13"/>
        <v>2</v>
      </c>
      <c r="R53" s="12" t="str">
        <f t="shared" si="14"/>
        <v>Đạt</v>
      </c>
      <c r="S53" s="14"/>
      <c r="U53" s="84"/>
    </row>
    <row r="54" spans="1:21" s="95" customFormat="1" hidden="1" x14ac:dyDescent="0.25">
      <c r="A54" s="9" t="s">
        <v>157</v>
      </c>
      <c r="B54" s="13"/>
      <c r="C54" s="1" t="s">
        <v>362</v>
      </c>
      <c r="D54" s="12">
        <f t="shared" si="15"/>
        <v>54.14</v>
      </c>
      <c r="E54" s="83">
        <v>46.91</v>
      </c>
      <c r="F54" s="83">
        <v>7.23</v>
      </c>
      <c r="G54" s="12">
        <v>54.1</v>
      </c>
      <c r="H54" s="12">
        <v>83</v>
      </c>
      <c r="I54" s="12">
        <f t="shared" si="16"/>
        <v>3</v>
      </c>
      <c r="J54" s="12" t="str">
        <f t="shared" si="17"/>
        <v>Đạt</v>
      </c>
      <c r="K54" s="14"/>
      <c r="L54" s="96">
        <f t="shared" si="12"/>
        <v>54.319999999999993</v>
      </c>
      <c r="M54" s="10">
        <v>46.91</v>
      </c>
      <c r="N54" s="10">
        <v>7.41</v>
      </c>
      <c r="O54" s="12">
        <v>54.1</v>
      </c>
      <c r="P54" s="97">
        <v>98.8</v>
      </c>
      <c r="Q54" s="12">
        <f t="shared" si="13"/>
        <v>2</v>
      </c>
      <c r="R54" s="12" t="str">
        <f t="shared" si="14"/>
        <v>Đạt</v>
      </c>
      <c r="S54" s="14"/>
      <c r="U54" s="84"/>
    </row>
    <row r="55" spans="1:21" s="95" customFormat="1" hidden="1" x14ac:dyDescent="0.25">
      <c r="A55" s="9" t="s">
        <v>158</v>
      </c>
      <c r="B55" s="13"/>
      <c r="C55" s="1" t="s">
        <v>363</v>
      </c>
      <c r="D55" s="12">
        <f t="shared" si="15"/>
        <v>59.239999999999995</v>
      </c>
      <c r="E55" s="83">
        <v>54.44</v>
      </c>
      <c r="F55" s="83">
        <v>4.8</v>
      </c>
      <c r="G55" s="12">
        <v>57.2</v>
      </c>
      <c r="H55" s="12">
        <v>83</v>
      </c>
      <c r="I55" s="12">
        <f t="shared" si="16"/>
        <v>3</v>
      </c>
      <c r="J55" s="12" t="str">
        <f t="shared" si="17"/>
        <v>Đạt</v>
      </c>
      <c r="K55" s="14"/>
      <c r="L55" s="96">
        <f t="shared" si="12"/>
        <v>59.199999999999996</v>
      </c>
      <c r="M55" s="10">
        <v>54.4</v>
      </c>
      <c r="N55" s="10">
        <v>4.8</v>
      </c>
      <c r="O55" s="12">
        <v>57.2</v>
      </c>
      <c r="P55" s="97">
        <v>100</v>
      </c>
      <c r="Q55" s="12">
        <f t="shared" si="13"/>
        <v>2</v>
      </c>
      <c r="R55" s="12" t="str">
        <f t="shared" si="14"/>
        <v>Đạt</v>
      </c>
      <c r="S55" s="14"/>
      <c r="U55" s="84"/>
    </row>
    <row r="56" spans="1:21" s="95" customFormat="1" hidden="1" x14ac:dyDescent="0.25">
      <c r="A56" s="9" t="s">
        <v>159</v>
      </c>
      <c r="B56" s="13"/>
      <c r="C56" s="1" t="s">
        <v>364</v>
      </c>
      <c r="D56" s="12">
        <f t="shared" si="15"/>
        <v>56.37</v>
      </c>
      <c r="E56" s="83">
        <v>50</v>
      </c>
      <c r="F56" s="83">
        <v>6.37</v>
      </c>
      <c r="G56" s="12">
        <v>56.2</v>
      </c>
      <c r="H56" s="12">
        <v>85</v>
      </c>
      <c r="I56" s="12">
        <f t="shared" si="16"/>
        <v>3</v>
      </c>
      <c r="J56" s="12" t="str">
        <f t="shared" si="17"/>
        <v>Đạt</v>
      </c>
      <c r="K56" s="14"/>
      <c r="L56" s="96">
        <f t="shared" si="12"/>
        <v>56.36</v>
      </c>
      <c r="M56" s="10">
        <v>50</v>
      </c>
      <c r="N56" s="10">
        <v>6.36</v>
      </c>
      <c r="O56" s="12">
        <v>56.2</v>
      </c>
      <c r="P56" s="97">
        <v>98.2</v>
      </c>
      <c r="Q56" s="12">
        <f t="shared" si="13"/>
        <v>2</v>
      </c>
      <c r="R56" s="12" t="str">
        <f t="shared" si="14"/>
        <v>Đạt</v>
      </c>
      <c r="S56" s="14"/>
      <c r="U56" s="84"/>
    </row>
    <row r="57" spans="1:21" s="95" customFormat="1" hidden="1" x14ac:dyDescent="0.25">
      <c r="A57" s="9" t="s">
        <v>160</v>
      </c>
      <c r="B57" s="13"/>
      <c r="C57" s="1" t="s">
        <v>365</v>
      </c>
      <c r="D57" s="12">
        <f t="shared" si="15"/>
        <v>64.710000000000008</v>
      </c>
      <c r="E57" s="83">
        <v>53.71</v>
      </c>
      <c r="F57" s="83">
        <v>11</v>
      </c>
      <c r="G57" s="12">
        <v>54.2</v>
      </c>
      <c r="H57" s="12">
        <v>80</v>
      </c>
      <c r="I57" s="12">
        <f t="shared" si="16"/>
        <v>3</v>
      </c>
      <c r="J57" s="12" t="str">
        <f t="shared" si="17"/>
        <v>Đạt</v>
      </c>
      <c r="K57" s="14"/>
      <c r="L57" s="96">
        <f t="shared" si="12"/>
        <v>64.930000000000007</v>
      </c>
      <c r="M57" s="10">
        <v>54.03</v>
      </c>
      <c r="N57" s="10">
        <v>10.9</v>
      </c>
      <c r="O57" s="12">
        <v>54.2</v>
      </c>
      <c r="P57" s="97">
        <v>87.7</v>
      </c>
      <c r="Q57" s="12">
        <f t="shared" si="13"/>
        <v>3</v>
      </c>
      <c r="R57" s="12" t="str">
        <f t="shared" si="14"/>
        <v>Đạt</v>
      </c>
      <c r="S57" s="14"/>
      <c r="U57" s="84"/>
    </row>
    <row r="58" spans="1:21" s="95" customFormat="1" hidden="1" x14ac:dyDescent="0.25">
      <c r="A58" s="9" t="s">
        <v>161</v>
      </c>
      <c r="B58" s="13"/>
      <c r="C58" s="1" t="s">
        <v>366</v>
      </c>
      <c r="D58" s="12">
        <f t="shared" si="15"/>
        <v>52.14</v>
      </c>
      <c r="E58" s="83">
        <v>41.74</v>
      </c>
      <c r="F58" s="83">
        <v>10.4</v>
      </c>
      <c r="G58" s="12">
        <v>57.4</v>
      </c>
      <c r="H58" s="12">
        <v>83</v>
      </c>
      <c r="I58" s="12">
        <f t="shared" si="16"/>
        <v>3</v>
      </c>
      <c r="J58" s="12" t="str">
        <f t="shared" si="17"/>
        <v>Đạt</v>
      </c>
      <c r="K58" s="14"/>
      <c r="L58" s="96">
        <f t="shared" si="12"/>
        <v>52.8</v>
      </c>
      <c r="M58" s="10">
        <v>42.4</v>
      </c>
      <c r="N58" s="10">
        <v>10.4</v>
      </c>
      <c r="O58" s="12">
        <v>57.4</v>
      </c>
      <c r="P58" s="97">
        <v>94.4</v>
      </c>
      <c r="Q58" s="12">
        <f t="shared" si="13"/>
        <v>2</v>
      </c>
      <c r="R58" s="12" t="str">
        <f t="shared" si="14"/>
        <v>Đạt</v>
      </c>
      <c r="S58" s="14"/>
      <c r="U58" s="84"/>
    </row>
    <row r="59" spans="1:21" s="95" customFormat="1" hidden="1" x14ac:dyDescent="0.25">
      <c r="A59" s="9" t="s">
        <v>162</v>
      </c>
      <c r="B59" s="13"/>
      <c r="C59" s="1" t="s">
        <v>367</v>
      </c>
      <c r="D59" s="12">
        <f t="shared" si="15"/>
        <v>64.61999999999999</v>
      </c>
      <c r="E59" s="83">
        <v>57.48</v>
      </c>
      <c r="F59" s="83">
        <v>7.14</v>
      </c>
      <c r="G59" s="12">
        <v>0</v>
      </c>
      <c r="H59" s="12">
        <v>80</v>
      </c>
      <c r="I59" s="12">
        <f t="shared" si="16"/>
        <v>3</v>
      </c>
      <c r="J59" s="12" t="str">
        <f t="shared" si="17"/>
        <v>Đạt</v>
      </c>
      <c r="K59" s="14"/>
      <c r="L59" s="96">
        <f t="shared" si="12"/>
        <v>66.66</v>
      </c>
      <c r="M59" s="10">
        <v>59.52</v>
      </c>
      <c r="N59" s="10">
        <v>7.14</v>
      </c>
      <c r="O59" s="12">
        <v>0</v>
      </c>
      <c r="P59" s="97">
        <v>100</v>
      </c>
      <c r="Q59" s="12">
        <f t="shared" si="13"/>
        <v>2</v>
      </c>
      <c r="R59" s="12" t="str">
        <f t="shared" si="14"/>
        <v>Đạt</v>
      </c>
      <c r="S59" s="14"/>
      <c r="U59" s="84"/>
    </row>
    <row r="60" spans="1:21" s="95" customFormat="1" hidden="1" x14ac:dyDescent="0.25">
      <c r="A60" s="9" t="s">
        <v>163</v>
      </c>
      <c r="B60" s="13"/>
      <c r="C60" s="1" t="s">
        <v>368</v>
      </c>
      <c r="D60" s="12">
        <f t="shared" si="15"/>
        <v>52.900000000000006</v>
      </c>
      <c r="E60" s="83">
        <v>44.1</v>
      </c>
      <c r="F60" s="83">
        <v>8.8000000000000007</v>
      </c>
      <c r="G60" s="12">
        <v>0</v>
      </c>
      <c r="H60" s="12">
        <v>80</v>
      </c>
      <c r="I60" s="12">
        <f t="shared" si="16"/>
        <v>3</v>
      </c>
      <c r="J60" s="12" t="str">
        <f t="shared" si="17"/>
        <v>Đạt</v>
      </c>
      <c r="K60" s="14"/>
      <c r="L60" s="96">
        <f t="shared" si="12"/>
        <v>53.599999999999994</v>
      </c>
      <c r="M60" s="10">
        <v>44.8</v>
      </c>
      <c r="N60" s="10">
        <v>8.8000000000000007</v>
      </c>
      <c r="O60" s="12">
        <v>0</v>
      </c>
      <c r="P60" s="97">
        <v>100</v>
      </c>
      <c r="Q60" s="12">
        <f t="shared" si="13"/>
        <v>2</v>
      </c>
      <c r="R60" s="12" t="str">
        <f t="shared" si="14"/>
        <v>Đạt</v>
      </c>
      <c r="S60" s="14"/>
      <c r="U60" s="84"/>
    </row>
    <row r="61" spans="1:21" s="95" customFormat="1" hidden="1" x14ac:dyDescent="0.25">
      <c r="A61" s="9" t="s">
        <v>164</v>
      </c>
      <c r="B61" s="13"/>
      <c r="C61" s="1" t="s">
        <v>369</v>
      </c>
      <c r="D61" s="12">
        <f t="shared" si="15"/>
        <v>57.239999999999995</v>
      </c>
      <c r="E61" s="83">
        <v>45.44</v>
      </c>
      <c r="F61" s="83">
        <v>11.8</v>
      </c>
      <c r="G61" s="12">
        <v>0</v>
      </c>
      <c r="H61" s="12">
        <v>80</v>
      </c>
      <c r="I61" s="12">
        <f t="shared" si="16"/>
        <v>3</v>
      </c>
      <c r="J61" s="12" t="str">
        <f t="shared" si="17"/>
        <v>Đạt</v>
      </c>
      <c r="K61" s="14"/>
      <c r="L61" s="96">
        <f t="shared" si="12"/>
        <v>57.9</v>
      </c>
      <c r="M61" s="10">
        <v>46.32</v>
      </c>
      <c r="N61" s="10">
        <v>11.58</v>
      </c>
      <c r="O61" s="12">
        <v>0</v>
      </c>
      <c r="P61" s="97">
        <v>97.9</v>
      </c>
      <c r="Q61" s="12">
        <f t="shared" si="13"/>
        <v>2</v>
      </c>
      <c r="R61" s="12" t="str">
        <f t="shared" si="14"/>
        <v>Đạt</v>
      </c>
      <c r="S61" s="14"/>
      <c r="U61" s="84"/>
    </row>
    <row r="62" spans="1:21" s="95" customFormat="1" hidden="1" x14ac:dyDescent="0.25">
      <c r="A62" s="9" t="s">
        <v>165</v>
      </c>
      <c r="B62" s="13"/>
      <c r="C62" s="1" t="s">
        <v>370</v>
      </c>
      <c r="D62" s="12">
        <f t="shared" si="15"/>
        <v>68.3</v>
      </c>
      <c r="E62" s="83">
        <v>60.61</v>
      </c>
      <c r="F62" s="83">
        <v>7.69</v>
      </c>
      <c r="G62" s="12">
        <v>0</v>
      </c>
      <c r="H62" s="12">
        <v>80</v>
      </c>
      <c r="I62" s="12">
        <f t="shared" si="16"/>
        <v>3</v>
      </c>
      <c r="J62" s="12" t="str">
        <f t="shared" si="17"/>
        <v>Đạt</v>
      </c>
      <c r="K62" s="14"/>
      <c r="L62" s="96">
        <f t="shared" si="12"/>
        <v>69.23</v>
      </c>
      <c r="M62" s="10">
        <v>61.54</v>
      </c>
      <c r="N62" s="10">
        <v>7.69</v>
      </c>
      <c r="O62" s="12">
        <v>0</v>
      </c>
      <c r="P62" s="97">
        <v>100</v>
      </c>
      <c r="Q62" s="12">
        <f t="shared" si="13"/>
        <v>2</v>
      </c>
      <c r="R62" s="12" t="str">
        <f t="shared" si="14"/>
        <v>Đạt</v>
      </c>
      <c r="S62" s="14"/>
      <c r="U62" s="84"/>
    </row>
    <row r="63" spans="1:21" s="100" customFormat="1" x14ac:dyDescent="0.25">
      <c r="A63" s="19" t="s">
        <v>574</v>
      </c>
      <c r="B63" s="20" t="s">
        <v>64</v>
      </c>
      <c r="C63" s="20"/>
      <c r="D63" s="22"/>
      <c r="E63" s="104"/>
      <c r="F63" s="104"/>
      <c r="G63" s="22"/>
      <c r="H63" s="22"/>
      <c r="I63" s="22"/>
      <c r="J63" s="22"/>
      <c r="K63" s="90">
        <f>COUNTIF(J64:J86,"Đạt")</f>
        <v>20</v>
      </c>
      <c r="L63" s="98">
        <f t="shared" ref="L63:L86" si="18">M63+N63</f>
        <v>0</v>
      </c>
      <c r="M63" s="90"/>
      <c r="N63" s="90"/>
      <c r="O63" s="22"/>
      <c r="P63" s="99"/>
      <c r="Q63" s="89"/>
      <c r="R63" s="89"/>
      <c r="S63" s="90" t="s">
        <v>1205</v>
      </c>
      <c r="U63" s="84"/>
    </row>
    <row r="64" spans="1:21" s="84" customFormat="1" hidden="1" x14ac:dyDescent="0.25">
      <c r="A64" s="9" t="s">
        <v>148</v>
      </c>
      <c r="B64" s="1"/>
      <c r="C64" s="1" t="s">
        <v>551</v>
      </c>
      <c r="D64" s="15">
        <f>E64+F64</f>
        <v>20</v>
      </c>
      <c r="E64" s="11">
        <v>20</v>
      </c>
      <c r="F64" s="11">
        <v>0</v>
      </c>
      <c r="G64" s="15">
        <v>20</v>
      </c>
      <c r="H64" s="15">
        <v>100</v>
      </c>
      <c r="I64" s="12">
        <f>SUM((IF(D64&gt;=16.24,1,0))+(IF(G64&lt;60,1,0))+(IF(H64&lt;90,1,0)))</f>
        <v>2</v>
      </c>
      <c r="J64" s="12" t="str">
        <f>IF(I64&gt;=2,"Đạt","Không đạt")</f>
        <v>Đạt</v>
      </c>
      <c r="K64" s="10"/>
      <c r="L64" s="96">
        <f t="shared" si="18"/>
        <v>20</v>
      </c>
      <c r="M64" s="10">
        <v>20</v>
      </c>
      <c r="N64" s="10">
        <v>0</v>
      </c>
      <c r="O64" s="15">
        <v>20</v>
      </c>
      <c r="P64" s="97">
        <v>100</v>
      </c>
      <c r="Q64" s="12">
        <f t="shared" ref="Q64:Q86" si="19">SUM((IF(L64&gt;=16.24,1,0))+(IF(O64&lt;60,1,0))+(IF(P64&lt;90,1,0)))</f>
        <v>2</v>
      </c>
      <c r="R64" s="12" t="str">
        <f t="shared" ref="R64:R86" si="20">IF(Q64&gt;=2,"Đạt","Không đạt")</f>
        <v>Đạt</v>
      </c>
      <c r="S64" s="10"/>
      <c r="T64" s="95"/>
    </row>
    <row r="65" spans="1:20" s="84" customFormat="1" hidden="1" x14ac:dyDescent="0.25">
      <c r="A65" s="9" t="s">
        <v>149</v>
      </c>
      <c r="B65" s="1"/>
      <c r="C65" s="1" t="s">
        <v>552</v>
      </c>
      <c r="D65" s="15">
        <f t="shared" ref="D65:D86" si="21">E65+F65</f>
        <v>28.759999999999998</v>
      </c>
      <c r="E65" s="11">
        <v>25.7</v>
      </c>
      <c r="F65" s="11">
        <v>3.06</v>
      </c>
      <c r="G65" s="15">
        <v>20</v>
      </c>
      <c r="H65" s="15">
        <v>100</v>
      </c>
      <c r="I65" s="12">
        <f t="shared" ref="I65:I86" si="22">SUM((IF(D65&gt;=16.24,1,0))+(IF(G65&lt;60,1,0))+(IF(H65&lt;90,1,0)))</f>
        <v>2</v>
      </c>
      <c r="J65" s="12" t="str">
        <f t="shared" ref="J65:J86" si="23">IF(I65&gt;=2,"Đạt","Không đạt")</f>
        <v>Đạt</v>
      </c>
      <c r="K65" s="10"/>
      <c r="L65" s="96">
        <f t="shared" si="18"/>
        <v>26.799999999999997</v>
      </c>
      <c r="M65" s="10">
        <v>24.74</v>
      </c>
      <c r="N65" s="10">
        <v>2.06</v>
      </c>
      <c r="O65" s="15">
        <v>20</v>
      </c>
      <c r="P65" s="97">
        <v>100</v>
      </c>
      <c r="Q65" s="12">
        <f t="shared" si="19"/>
        <v>2</v>
      </c>
      <c r="R65" s="12" t="str">
        <f t="shared" si="20"/>
        <v>Đạt</v>
      </c>
      <c r="S65" s="10"/>
      <c r="T65" s="95"/>
    </row>
    <row r="66" spans="1:20" s="84" customFormat="1" hidden="1" x14ac:dyDescent="0.25">
      <c r="A66" s="9" t="s">
        <v>150</v>
      </c>
      <c r="B66" s="1"/>
      <c r="C66" s="1" t="s">
        <v>553</v>
      </c>
      <c r="D66" s="15">
        <f t="shared" si="21"/>
        <v>42.86</v>
      </c>
      <c r="E66" s="11">
        <v>38.1</v>
      </c>
      <c r="F66" s="11">
        <v>4.76</v>
      </c>
      <c r="G66" s="15">
        <v>10</v>
      </c>
      <c r="H66" s="15">
        <v>0</v>
      </c>
      <c r="I66" s="12">
        <f t="shared" si="22"/>
        <v>3</v>
      </c>
      <c r="J66" s="12" t="str">
        <f t="shared" si="23"/>
        <v>Đạt</v>
      </c>
      <c r="K66" s="10"/>
      <c r="L66" s="96">
        <f t="shared" si="18"/>
        <v>44.44</v>
      </c>
      <c r="M66" s="10">
        <v>39.68</v>
      </c>
      <c r="N66" s="10">
        <v>4.76</v>
      </c>
      <c r="O66" s="15">
        <v>10</v>
      </c>
      <c r="P66" s="97">
        <v>0</v>
      </c>
      <c r="Q66" s="12">
        <f t="shared" si="19"/>
        <v>3</v>
      </c>
      <c r="R66" s="12" t="str">
        <f t="shared" si="20"/>
        <v>Đạt</v>
      </c>
      <c r="S66" s="10"/>
      <c r="T66" s="95"/>
    </row>
    <row r="67" spans="1:20" s="84" customFormat="1" hidden="1" x14ac:dyDescent="0.25">
      <c r="A67" s="9" t="s">
        <v>151</v>
      </c>
      <c r="B67" s="1"/>
      <c r="C67" s="1" t="s">
        <v>554</v>
      </c>
      <c r="D67" s="15">
        <f t="shared" si="21"/>
        <v>17.899999999999999</v>
      </c>
      <c r="E67" s="11">
        <v>12.5</v>
      </c>
      <c r="F67" s="11">
        <v>5.4</v>
      </c>
      <c r="G67" s="15">
        <v>20</v>
      </c>
      <c r="H67" s="15">
        <v>89.2</v>
      </c>
      <c r="I67" s="12">
        <f t="shared" si="22"/>
        <v>3</v>
      </c>
      <c r="J67" s="12" t="str">
        <f t="shared" si="23"/>
        <v>Đạt</v>
      </c>
      <c r="K67" s="10"/>
      <c r="L67" s="96">
        <f t="shared" si="18"/>
        <v>16.100000000000001</v>
      </c>
      <c r="M67" s="10">
        <v>12.5</v>
      </c>
      <c r="N67" s="10">
        <v>3.6</v>
      </c>
      <c r="O67" s="15">
        <v>20</v>
      </c>
      <c r="P67" s="97">
        <v>89.2</v>
      </c>
      <c r="Q67" s="12">
        <f t="shared" si="19"/>
        <v>2</v>
      </c>
      <c r="R67" s="12" t="str">
        <f t="shared" si="20"/>
        <v>Đạt</v>
      </c>
      <c r="S67" s="10"/>
      <c r="T67" s="95"/>
    </row>
    <row r="68" spans="1:20" s="84" customFormat="1" ht="30" x14ac:dyDescent="0.25">
      <c r="A68" s="9" t="s">
        <v>152</v>
      </c>
      <c r="B68" s="1"/>
      <c r="C68" s="1" t="s">
        <v>555</v>
      </c>
      <c r="D68" s="15">
        <f t="shared" si="21"/>
        <v>16.43</v>
      </c>
      <c r="E68" s="11">
        <v>14.29</v>
      </c>
      <c r="F68" s="11">
        <v>2.14</v>
      </c>
      <c r="G68" s="15">
        <v>20</v>
      </c>
      <c r="H68" s="15">
        <v>90</v>
      </c>
      <c r="I68" s="12">
        <f t="shared" si="22"/>
        <v>2</v>
      </c>
      <c r="J68" s="12" t="str">
        <f t="shared" si="23"/>
        <v>Đạt</v>
      </c>
      <c r="K68" s="10"/>
      <c r="L68" s="96">
        <f t="shared" si="18"/>
        <v>15</v>
      </c>
      <c r="M68" s="10">
        <v>15</v>
      </c>
      <c r="N68" s="10">
        <v>0</v>
      </c>
      <c r="O68" s="15">
        <v>20</v>
      </c>
      <c r="P68" s="97">
        <v>90</v>
      </c>
      <c r="Q68" s="12">
        <f t="shared" si="19"/>
        <v>1</v>
      </c>
      <c r="R68" s="12" t="str">
        <f t="shared" si="20"/>
        <v>Không đạt</v>
      </c>
      <c r="S68" s="10" t="s">
        <v>1185</v>
      </c>
      <c r="T68" s="95"/>
    </row>
    <row r="69" spans="1:20" s="84" customFormat="1" hidden="1" x14ac:dyDescent="0.25">
      <c r="A69" s="9" t="s">
        <v>153</v>
      </c>
      <c r="B69" s="1"/>
      <c r="C69" s="1" t="s">
        <v>556</v>
      </c>
      <c r="D69" s="15">
        <f t="shared" si="21"/>
        <v>35.729999999999997</v>
      </c>
      <c r="E69" s="11">
        <v>30.61</v>
      </c>
      <c r="F69" s="11">
        <v>5.12</v>
      </c>
      <c r="G69" s="15">
        <v>0</v>
      </c>
      <c r="H69" s="15">
        <v>70.399999999999991</v>
      </c>
      <c r="I69" s="12">
        <f t="shared" si="22"/>
        <v>3</v>
      </c>
      <c r="J69" s="12" t="str">
        <f t="shared" si="23"/>
        <v>Đạt</v>
      </c>
      <c r="K69" s="10"/>
      <c r="L69" s="96">
        <f t="shared" si="18"/>
        <v>38.760000000000005</v>
      </c>
      <c r="M69" s="10">
        <v>30.6</v>
      </c>
      <c r="N69" s="10">
        <v>8.16</v>
      </c>
      <c r="O69" s="15">
        <v>0</v>
      </c>
      <c r="P69" s="97">
        <v>70.399999999999991</v>
      </c>
      <c r="Q69" s="12">
        <f t="shared" si="19"/>
        <v>3</v>
      </c>
      <c r="R69" s="12" t="str">
        <f t="shared" si="20"/>
        <v>Đạt</v>
      </c>
      <c r="S69" s="10"/>
      <c r="T69" s="95"/>
    </row>
    <row r="70" spans="1:20" s="84" customFormat="1" hidden="1" x14ac:dyDescent="0.25">
      <c r="A70" s="9" t="s">
        <v>154</v>
      </c>
      <c r="B70" s="1"/>
      <c r="C70" s="1" t="s">
        <v>557</v>
      </c>
      <c r="D70" s="15">
        <f t="shared" si="21"/>
        <v>29.12</v>
      </c>
      <c r="E70" s="11">
        <v>25.32</v>
      </c>
      <c r="F70" s="11">
        <v>3.8</v>
      </c>
      <c r="G70" s="15">
        <v>10</v>
      </c>
      <c r="H70" s="15">
        <v>76</v>
      </c>
      <c r="I70" s="12">
        <f t="shared" si="22"/>
        <v>3</v>
      </c>
      <c r="J70" s="12" t="str">
        <f t="shared" si="23"/>
        <v>Đạt</v>
      </c>
      <c r="K70" s="10"/>
      <c r="L70" s="96">
        <f t="shared" si="18"/>
        <v>29.12</v>
      </c>
      <c r="M70" s="10">
        <v>25.32</v>
      </c>
      <c r="N70" s="10">
        <v>3.8</v>
      </c>
      <c r="O70" s="15">
        <v>10</v>
      </c>
      <c r="P70" s="97">
        <v>76</v>
      </c>
      <c r="Q70" s="12">
        <f t="shared" si="19"/>
        <v>3</v>
      </c>
      <c r="R70" s="12" t="str">
        <f t="shared" si="20"/>
        <v>Đạt</v>
      </c>
      <c r="S70" s="10"/>
      <c r="T70" s="95"/>
    </row>
    <row r="71" spans="1:20" s="84" customFormat="1" hidden="1" x14ac:dyDescent="0.25">
      <c r="A71" s="9" t="s">
        <v>155</v>
      </c>
      <c r="B71" s="1"/>
      <c r="C71" s="1" t="s">
        <v>558</v>
      </c>
      <c r="D71" s="15">
        <f t="shared" si="21"/>
        <v>38.510000000000005</v>
      </c>
      <c r="E71" s="11">
        <v>33.700000000000003</v>
      </c>
      <c r="F71" s="11">
        <v>4.8099999999999996</v>
      </c>
      <c r="G71" s="15">
        <v>45</v>
      </c>
      <c r="H71" s="15">
        <v>64.600000000000009</v>
      </c>
      <c r="I71" s="12">
        <f t="shared" si="22"/>
        <v>3</v>
      </c>
      <c r="J71" s="12" t="str">
        <f t="shared" si="23"/>
        <v>Đạt</v>
      </c>
      <c r="K71" s="10"/>
      <c r="L71" s="96">
        <f t="shared" si="18"/>
        <v>39.53</v>
      </c>
      <c r="M71" s="10">
        <v>33.72</v>
      </c>
      <c r="N71" s="10">
        <v>5.81</v>
      </c>
      <c r="O71" s="15">
        <v>45</v>
      </c>
      <c r="P71" s="97">
        <v>64.600000000000009</v>
      </c>
      <c r="Q71" s="12">
        <f t="shared" si="19"/>
        <v>3</v>
      </c>
      <c r="R71" s="12" t="str">
        <f t="shared" si="20"/>
        <v>Đạt</v>
      </c>
      <c r="S71" s="10"/>
      <c r="T71" s="95"/>
    </row>
    <row r="72" spans="1:20" s="84" customFormat="1" hidden="1" x14ac:dyDescent="0.25">
      <c r="A72" s="9" t="s">
        <v>156</v>
      </c>
      <c r="B72" s="1"/>
      <c r="C72" s="1" t="s">
        <v>559</v>
      </c>
      <c r="D72" s="15">
        <f t="shared" si="21"/>
        <v>27.63</v>
      </c>
      <c r="E72" s="11">
        <v>23.33</v>
      </c>
      <c r="F72" s="11">
        <v>4.3</v>
      </c>
      <c r="G72" s="15">
        <v>40</v>
      </c>
      <c r="H72" s="15">
        <v>80.7</v>
      </c>
      <c r="I72" s="12">
        <f t="shared" si="22"/>
        <v>3</v>
      </c>
      <c r="J72" s="12" t="str">
        <f t="shared" si="23"/>
        <v>Đạt</v>
      </c>
      <c r="K72" s="10"/>
      <c r="L72" s="96">
        <f t="shared" si="18"/>
        <v>32</v>
      </c>
      <c r="M72" s="10">
        <v>26.67</v>
      </c>
      <c r="N72" s="10">
        <v>5.33</v>
      </c>
      <c r="O72" s="15">
        <v>40</v>
      </c>
      <c r="P72" s="97">
        <v>80.7</v>
      </c>
      <c r="Q72" s="12">
        <f t="shared" si="19"/>
        <v>3</v>
      </c>
      <c r="R72" s="12" t="str">
        <f t="shared" si="20"/>
        <v>Đạt</v>
      </c>
      <c r="S72" s="10"/>
      <c r="T72" s="95"/>
    </row>
    <row r="73" spans="1:20" s="84" customFormat="1" hidden="1" x14ac:dyDescent="0.25">
      <c r="A73" s="9" t="s">
        <v>157</v>
      </c>
      <c r="B73" s="1"/>
      <c r="C73" s="1" t="s">
        <v>560</v>
      </c>
      <c r="D73" s="15">
        <f t="shared" si="21"/>
        <v>27.7</v>
      </c>
      <c r="E73" s="11">
        <v>23.08</v>
      </c>
      <c r="F73" s="11">
        <v>4.62</v>
      </c>
      <c r="G73" s="15">
        <v>40</v>
      </c>
      <c r="H73" s="15">
        <v>100</v>
      </c>
      <c r="I73" s="12">
        <f t="shared" si="22"/>
        <v>2</v>
      </c>
      <c r="J73" s="12" t="str">
        <f t="shared" si="23"/>
        <v>Đạt</v>
      </c>
      <c r="K73" s="10"/>
      <c r="L73" s="96">
        <f t="shared" si="18"/>
        <v>28.450000000000003</v>
      </c>
      <c r="M73" s="10">
        <v>23.85</v>
      </c>
      <c r="N73" s="10">
        <v>4.5999999999999996</v>
      </c>
      <c r="O73" s="15">
        <v>40</v>
      </c>
      <c r="P73" s="97">
        <v>100</v>
      </c>
      <c r="Q73" s="12">
        <f t="shared" si="19"/>
        <v>2</v>
      </c>
      <c r="R73" s="12" t="str">
        <f t="shared" si="20"/>
        <v>Đạt</v>
      </c>
      <c r="S73" s="10"/>
      <c r="T73" s="95"/>
    </row>
    <row r="74" spans="1:20" s="84" customFormat="1" hidden="1" x14ac:dyDescent="0.25">
      <c r="A74" s="9" t="s">
        <v>158</v>
      </c>
      <c r="B74" s="1"/>
      <c r="C74" s="1" t="s">
        <v>561</v>
      </c>
      <c r="D74" s="15">
        <f t="shared" si="21"/>
        <v>29.05</v>
      </c>
      <c r="E74" s="11">
        <v>23.6</v>
      </c>
      <c r="F74" s="11">
        <v>5.45</v>
      </c>
      <c r="G74" s="15">
        <v>0</v>
      </c>
      <c r="H74" s="15">
        <v>0</v>
      </c>
      <c r="I74" s="12">
        <f t="shared" si="22"/>
        <v>3</v>
      </c>
      <c r="J74" s="12" t="str">
        <f t="shared" si="23"/>
        <v>Đạt</v>
      </c>
      <c r="K74" s="10"/>
      <c r="L74" s="96">
        <f t="shared" si="18"/>
        <v>30.11</v>
      </c>
      <c r="M74" s="10">
        <v>23.66</v>
      </c>
      <c r="N74" s="10">
        <v>6.45</v>
      </c>
      <c r="O74" s="15">
        <v>0</v>
      </c>
      <c r="P74" s="97">
        <v>0</v>
      </c>
      <c r="Q74" s="12">
        <f t="shared" si="19"/>
        <v>3</v>
      </c>
      <c r="R74" s="12" t="str">
        <f t="shared" si="20"/>
        <v>Đạt</v>
      </c>
      <c r="S74" s="10"/>
      <c r="T74" s="95"/>
    </row>
    <row r="75" spans="1:20" s="84" customFormat="1" hidden="1" x14ac:dyDescent="0.25">
      <c r="A75" s="9" t="s">
        <v>159</v>
      </c>
      <c r="B75" s="1"/>
      <c r="C75" s="1" t="s">
        <v>562</v>
      </c>
      <c r="D75" s="15">
        <f t="shared" si="21"/>
        <v>35.700000000000003</v>
      </c>
      <c r="E75" s="11">
        <v>35.700000000000003</v>
      </c>
      <c r="F75" s="11">
        <v>0</v>
      </c>
      <c r="G75" s="15">
        <v>0</v>
      </c>
      <c r="H75" s="15">
        <v>0</v>
      </c>
      <c r="I75" s="12">
        <f t="shared" si="22"/>
        <v>3</v>
      </c>
      <c r="J75" s="12" t="str">
        <f t="shared" si="23"/>
        <v>Đạt</v>
      </c>
      <c r="K75" s="10"/>
      <c r="L75" s="96">
        <f t="shared" si="18"/>
        <v>35.71</v>
      </c>
      <c r="M75" s="10">
        <v>35.71</v>
      </c>
      <c r="N75" s="10">
        <v>0</v>
      </c>
      <c r="O75" s="15">
        <v>0</v>
      </c>
      <c r="P75" s="97">
        <v>0</v>
      </c>
      <c r="Q75" s="12">
        <f t="shared" si="19"/>
        <v>3</v>
      </c>
      <c r="R75" s="12" t="str">
        <f t="shared" si="20"/>
        <v>Đạt</v>
      </c>
      <c r="S75" s="10"/>
      <c r="T75" s="95"/>
    </row>
    <row r="76" spans="1:20" s="84" customFormat="1" hidden="1" x14ac:dyDescent="0.25">
      <c r="A76" s="9" t="s">
        <v>160</v>
      </c>
      <c r="B76" s="1"/>
      <c r="C76" s="1" t="s">
        <v>563</v>
      </c>
      <c r="D76" s="15">
        <f t="shared" si="21"/>
        <v>20.92</v>
      </c>
      <c r="E76" s="11">
        <v>16.5</v>
      </c>
      <c r="F76" s="11">
        <v>4.42</v>
      </c>
      <c r="G76" s="15">
        <v>30</v>
      </c>
      <c r="H76" s="15">
        <v>89.600000000000009</v>
      </c>
      <c r="I76" s="12">
        <f t="shared" si="22"/>
        <v>3</v>
      </c>
      <c r="J76" s="12" t="str">
        <f t="shared" si="23"/>
        <v>Đạt</v>
      </c>
      <c r="K76" s="10"/>
      <c r="L76" s="96">
        <f t="shared" si="18"/>
        <v>22.92</v>
      </c>
      <c r="M76" s="10">
        <v>16.5</v>
      </c>
      <c r="N76" s="10">
        <v>6.42</v>
      </c>
      <c r="O76" s="15">
        <v>30</v>
      </c>
      <c r="P76" s="97">
        <v>89.600000000000009</v>
      </c>
      <c r="Q76" s="12">
        <f t="shared" si="19"/>
        <v>3</v>
      </c>
      <c r="R76" s="12" t="str">
        <f t="shared" si="20"/>
        <v>Đạt</v>
      </c>
      <c r="S76" s="10"/>
      <c r="T76" s="95"/>
    </row>
    <row r="77" spans="1:20" s="84" customFormat="1" hidden="1" x14ac:dyDescent="0.25">
      <c r="A77" s="9" t="s">
        <v>161</v>
      </c>
      <c r="B77" s="1"/>
      <c r="C77" s="1" t="s">
        <v>564</v>
      </c>
      <c r="D77" s="15">
        <f t="shared" si="21"/>
        <v>25.310000000000002</v>
      </c>
      <c r="E77" s="11">
        <v>21.05</v>
      </c>
      <c r="F77" s="11">
        <v>4.26</v>
      </c>
      <c r="G77" s="15">
        <v>45</v>
      </c>
      <c r="H77" s="15">
        <v>100</v>
      </c>
      <c r="I77" s="12">
        <f t="shared" si="22"/>
        <v>2</v>
      </c>
      <c r="J77" s="12" t="str">
        <f t="shared" si="23"/>
        <v>Đạt</v>
      </c>
      <c r="K77" s="10"/>
      <c r="L77" s="96">
        <f t="shared" si="18"/>
        <v>26.36</v>
      </c>
      <c r="M77" s="10">
        <v>21.1</v>
      </c>
      <c r="N77" s="10">
        <v>5.26</v>
      </c>
      <c r="O77" s="15">
        <v>45</v>
      </c>
      <c r="P77" s="97">
        <v>100</v>
      </c>
      <c r="Q77" s="12">
        <f t="shared" si="19"/>
        <v>2</v>
      </c>
      <c r="R77" s="12" t="str">
        <f t="shared" si="20"/>
        <v>Đạt</v>
      </c>
      <c r="S77" s="10"/>
      <c r="T77" s="95"/>
    </row>
    <row r="78" spans="1:20" s="84" customFormat="1" hidden="1" x14ac:dyDescent="0.25">
      <c r="A78" s="9" t="s">
        <v>162</v>
      </c>
      <c r="B78" s="1"/>
      <c r="C78" s="1" t="s">
        <v>565</v>
      </c>
      <c r="D78" s="15">
        <f t="shared" si="21"/>
        <v>23</v>
      </c>
      <c r="E78" s="11">
        <v>16.670000000000002</v>
      </c>
      <c r="F78" s="11">
        <v>6.33</v>
      </c>
      <c r="G78" s="15">
        <v>50</v>
      </c>
      <c r="H78" s="15">
        <v>100</v>
      </c>
      <c r="I78" s="12">
        <f t="shared" si="22"/>
        <v>2</v>
      </c>
      <c r="J78" s="12" t="str">
        <f t="shared" si="23"/>
        <v>Đạt</v>
      </c>
      <c r="K78" s="10"/>
      <c r="L78" s="96">
        <f t="shared" si="18"/>
        <v>25.03</v>
      </c>
      <c r="M78" s="10">
        <v>16.7</v>
      </c>
      <c r="N78" s="10">
        <v>8.33</v>
      </c>
      <c r="O78" s="15">
        <v>50</v>
      </c>
      <c r="P78" s="97">
        <v>100</v>
      </c>
      <c r="Q78" s="12">
        <f t="shared" si="19"/>
        <v>2</v>
      </c>
      <c r="R78" s="12" t="str">
        <f t="shared" si="20"/>
        <v>Đạt</v>
      </c>
      <c r="S78" s="10"/>
      <c r="T78" s="95"/>
    </row>
    <row r="79" spans="1:20" s="84" customFormat="1" hidden="1" x14ac:dyDescent="0.25">
      <c r="A79" s="9" t="s">
        <v>163</v>
      </c>
      <c r="B79" s="1"/>
      <c r="C79" s="1" t="s">
        <v>566</v>
      </c>
      <c r="D79" s="15">
        <f t="shared" si="21"/>
        <v>19.64</v>
      </c>
      <c r="E79" s="11">
        <v>16.07</v>
      </c>
      <c r="F79" s="11">
        <v>3.57</v>
      </c>
      <c r="G79" s="15">
        <v>50</v>
      </c>
      <c r="H79" s="15">
        <v>100</v>
      </c>
      <c r="I79" s="12">
        <f t="shared" si="22"/>
        <v>2</v>
      </c>
      <c r="J79" s="12" t="str">
        <f t="shared" si="23"/>
        <v>Đạt</v>
      </c>
      <c r="K79" s="10"/>
      <c r="L79" s="96">
        <f t="shared" si="18"/>
        <v>19.670000000000002</v>
      </c>
      <c r="M79" s="10">
        <v>16.100000000000001</v>
      </c>
      <c r="N79" s="10">
        <v>3.57</v>
      </c>
      <c r="O79" s="15">
        <v>50</v>
      </c>
      <c r="P79" s="97">
        <v>100</v>
      </c>
      <c r="Q79" s="12">
        <f t="shared" si="19"/>
        <v>2</v>
      </c>
      <c r="R79" s="12" t="str">
        <f t="shared" si="20"/>
        <v>Đạt</v>
      </c>
      <c r="S79" s="10"/>
      <c r="T79" s="95"/>
    </row>
    <row r="80" spans="1:20" s="84" customFormat="1" hidden="1" x14ac:dyDescent="0.25">
      <c r="A80" s="9" t="s">
        <v>164</v>
      </c>
      <c r="B80" s="1"/>
      <c r="C80" s="1" t="s">
        <v>567</v>
      </c>
      <c r="D80" s="15">
        <f t="shared" si="21"/>
        <v>19.490000000000002</v>
      </c>
      <c r="E80" s="11">
        <v>16.100000000000001</v>
      </c>
      <c r="F80" s="11">
        <v>3.39</v>
      </c>
      <c r="G80" s="15">
        <v>40</v>
      </c>
      <c r="H80" s="15">
        <v>86.6</v>
      </c>
      <c r="I80" s="12">
        <f t="shared" si="22"/>
        <v>3</v>
      </c>
      <c r="J80" s="12" t="str">
        <f t="shared" si="23"/>
        <v>Đạt</v>
      </c>
      <c r="K80" s="10"/>
      <c r="L80" s="96">
        <f t="shared" si="18"/>
        <v>19.5</v>
      </c>
      <c r="M80" s="10">
        <v>16.100000000000001</v>
      </c>
      <c r="N80" s="10">
        <v>3.4</v>
      </c>
      <c r="O80" s="15">
        <v>40</v>
      </c>
      <c r="P80" s="97">
        <v>86.6</v>
      </c>
      <c r="Q80" s="12">
        <f t="shared" si="19"/>
        <v>3</v>
      </c>
      <c r="R80" s="12" t="str">
        <f t="shared" si="20"/>
        <v>Đạt</v>
      </c>
      <c r="S80" s="10"/>
      <c r="T80" s="95"/>
    </row>
    <row r="81" spans="1:21" s="84" customFormat="1" hidden="1" x14ac:dyDescent="0.25">
      <c r="A81" s="9" t="s">
        <v>165</v>
      </c>
      <c r="B81" s="1"/>
      <c r="C81" s="1" t="s">
        <v>568</v>
      </c>
      <c r="D81" s="15">
        <f t="shared" si="21"/>
        <v>6.5789473684210531</v>
      </c>
      <c r="E81" s="11">
        <v>1.3157894736842104</v>
      </c>
      <c r="F81" s="11">
        <v>5.2631578947368425</v>
      </c>
      <c r="G81" s="15">
        <v>40</v>
      </c>
      <c r="H81" s="15">
        <v>92.2</v>
      </c>
      <c r="I81" s="12">
        <f t="shared" si="22"/>
        <v>1</v>
      </c>
      <c r="J81" s="12" t="str">
        <f t="shared" si="23"/>
        <v>Không đạt</v>
      </c>
      <c r="K81" s="10"/>
      <c r="L81" s="96">
        <f t="shared" si="18"/>
        <v>7.89</v>
      </c>
      <c r="M81" s="10">
        <v>2.63</v>
      </c>
      <c r="N81" s="10">
        <v>5.26</v>
      </c>
      <c r="O81" s="15">
        <v>40</v>
      </c>
      <c r="P81" s="97">
        <v>92.2</v>
      </c>
      <c r="Q81" s="12">
        <f t="shared" si="19"/>
        <v>1</v>
      </c>
      <c r="R81" s="12" t="str">
        <f t="shared" si="20"/>
        <v>Không đạt</v>
      </c>
      <c r="S81" s="10"/>
      <c r="T81" s="95"/>
    </row>
    <row r="82" spans="1:21" s="84" customFormat="1" hidden="1" x14ac:dyDescent="0.25">
      <c r="A82" s="9" t="s">
        <v>166</v>
      </c>
      <c r="B82" s="1"/>
      <c r="C82" s="1" t="s">
        <v>569</v>
      </c>
      <c r="D82" s="15">
        <f t="shared" si="21"/>
        <v>7.4074074074074074</v>
      </c>
      <c r="E82" s="11">
        <v>2.3148148148148149</v>
      </c>
      <c r="F82" s="11">
        <v>5.0925925925925926</v>
      </c>
      <c r="G82" s="15">
        <v>70</v>
      </c>
      <c r="H82" s="15">
        <v>95.5</v>
      </c>
      <c r="I82" s="12">
        <f t="shared" si="22"/>
        <v>0</v>
      </c>
      <c r="J82" s="12" t="str">
        <f t="shared" si="23"/>
        <v>Không đạt</v>
      </c>
      <c r="K82" s="10"/>
      <c r="L82" s="96">
        <f t="shared" si="18"/>
        <v>8.34</v>
      </c>
      <c r="M82" s="10">
        <v>3.24</v>
      </c>
      <c r="N82" s="10">
        <v>5.0999999999999996</v>
      </c>
      <c r="O82" s="15">
        <v>70</v>
      </c>
      <c r="P82" s="97">
        <v>95.5</v>
      </c>
      <c r="Q82" s="12">
        <f t="shared" si="19"/>
        <v>0</v>
      </c>
      <c r="R82" s="12" t="str">
        <f t="shared" si="20"/>
        <v>Không đạt</v>
      </c>
      <c r="S82" s="10"/>
      <c r="T82" s="95"/>
    </row>
    <row r="83" spans="1:21" s="84" customFormat="1" hidden="1" x14ac:dyDescent="0.25">
      <c r="A83" s="9" t="s">
        <v>167</v>
      </c>
      <c r="B83" s="1"/>
      <c r="C83" s="1" t="s">
        <v>570</v>
      </c>
      <c r="D83" s="15">
        <f t="shared" si="21"/>
        <v>7.5342465753424648</v>
      </c>
      <c r="E83" s="11">
        <v>4.10958904109589</v>
      </c>
      <c r="F83" s="11">
        <v>3.4246575342465753</v>
      </c>
      <c r="G83" s="15">
        <v>50</v>
      </c>
      <c r="H83" s="15">
        <v>93.8</v>
      </c>
      <c r="I83" s="12">
        <f t="shared" si="22"/>
        <v>1</v>
      </c>
      <c r="J83" s="12" t="str">
        <f t="shared" si="23"/>
        <v>Không đạt</v>
      </c>
      <c r="K83" s="10"/>
      <c r="L83" s="96">
        <f t="shared" si="18"/>
        <v>8.2100000000000009</v>
      </c>
      <c r="M83" s="10">
        <v>4.79</v>
      </c>
      <c r="N83" s="10">
        <v>3.42</v>
      </c>
      <c r="O83" s="15">
        <v>50</v>
      </c>
      <c r="P83" s="97">
        <v>93.8</v>
      </c>
      <c r="Q83" s="12">
        <f t="shared" si="19"/>
        <v>1</v>
      </c>
      <c r="R83" s="12" t="str">
        <f t="shared" si="20"/>
        <v>Không đạt</v>
      </c>
      <c r="S83" s="10"/>
      <c r="T83" s="95"/>
    </row>
    <row r="84" spans="1:21" s="84" customFormat="1" hidden="1" x14ac:dyDescent="0.25">
      <c r="A84" s="9" t="s">
        <v>168</v>
      </c>
      <c r="B84" s="1"/>
      <c r="C84" s="1" t="s">
        <v>571</v>
      </c>
      <c r="D84" s="15">
        <f t="shared" si="21"/>
        <v>3.9772727272727275</v>
      </c>
      <c r="E84" s="11">
        <v>1.7045454545454544</v>
      </c>
      <c r="F84" s="11">
        <v>2.2727272727272729</v>
      </c>
      <c r="G84" s="15">
        <v>50</v>
      </c>
      <c r="H84" s="15">
        <v>89.8</v>
      </c>
      <c r="I84" s="12">
        <f t="shared" si="22"/>
        <v>2</v>
      </c>
      <c r="J84" s="12" t="str">
        <f t="shared" si="23"/>
        <v>Đạt</v>
      </c>
      <c r="K84" s="10"/>
      <c r="L84" s="96">
        <f t="shared" si="18"/>
        <v>7.3800000000000008</v>
      </c>
      <c r="M84" s="10">
        <v>5.1100000000000003</v>
      </c>
      <c r="N84" s="10">
        <v>2.27</v>
      </c>
      <c r="O84" s="15">
        <v>50</v>
      </c>
      <c r="P84" s="97">
        <v>89.8</v>
      </c>
      <c r="Q84" s="12">
        <f t="shared" si="19"/>
        <v>2</v>
      </c>
      <c r="R84" s="12" t="str">
        <f t="shared" si="20"/>
        <v>Đạt</v>
      </c>
      <c r="S84" s="10"/>
      <c r="T84" s="95"/>
    </row>
    <row r="85" spans="1:21" s="84" customFormat="1" hidden="1" x14ac:dyDescent="0.25">
      <c r="A85" s="9" t="s">
        <v>169</v>
      </c>
      <c r="B85" s="1"/>
      <c r="C85" s="1" t="s">
        <v>572</v>
      </c>
      <c r="D85" s="15">
        <f t="shared" si="21"/>
        <v>7.8431372549019605</v>
      </c>
      <c r="E85" s="11">
        <v>0.65359477124183007</v>
      </c>
      <c r="F85" s="11">
        <v>7.18954248366013</v>
      </c>
      <c r="G85" s="15">
        <v>50</v>
      </c>
      <c r="H85" s="15">
        <v>89.600000000000009</v>
      </c>
      <c r="I85" s="12">
        <f t="shared" si="22"/>
        <v>2</v>
      </c>
      <c r="J85" s="12" t="str">
        <f t="shared" si="23"/>
        <v>Đạt</v>
      </c>
      <c r="K85" s="10"/>
      <c r="L85" s="96">
        <f t="shared" si="18"/>
        <v>11.77</v>
      </c>
      <c r="M85" s="10">
        <v>4.58</v>
      </c>
      <c r="N85" s="10">
        <v>7.19</v>
      </c>
      <c r="O85" s="15">
        <v>50</v>
      </c>
      <c r="P85" s="97">
        <v>89.600000000000009</v>
      </c>
      <c r="Q85" s="12">
        <f t="shared" si="19"/>
        <v>2</v>
      </c>
      <c r="R85" s="12" t="str">
        <f t="shared" si="20"/>
        <v>Đạt</v>
      </c>
      <c r="S85" s="10"/>
      <c r="T85" s="95"/>
    </row>
    <row r="86" spans="1:21" s="84" customFormat="1" hidden="1" x14ac:dyDescent="0.25">
      <c r="A86" s="9" t="s">
        <v>170</v>
      </c>
      <c r="B86" s="1"/>
      <c r="C86" s="1" t="s">
        <v>573</v>
      </c>
      <c r="D86" s="15">
        <f t="shared" si="21"/>
        <v>16.633333333333333</v>
      </c>
      <c r="E86" s="11">
        <v>5.833333333333333</v>
      </c>
      <c r="F86" s="11">
        <v>10.8</v>
      </c>
      <c r="G86" s="15">
        <v>50</v>
      </c>
      <c r="H86" s="15">
        <v>89.2</v>
      </c>
      <c r="I86" s="12">
        <f t="shared" si="22"/>
        <v>3</v>
      </c>
      <c r="J86" s="12" t="str">
        <f t="shared" si="23"/>
        <v>Đạt</v>
      </c>
      <c r="K86" s="10"/>
      <c r="L86" s="96">
        <f t="shared" si="18"/>
        <v>17.5</v>
      </c>
      <c r="M86" s="10">
        <v>7.5</v>
      </c>
      <c r="N86" s="10">
        <v>10</v>
      </c>
      <c r="O86" s="15">
        <v>50</v>
      </c>
      <c r="P86" s="97">
        <v>89.2</v>
      </c>
      <c r="Q86" s="12">
        <f t="shared" si="19"/>
        <v>3</v>
      </c>
      <c r="R86" s="12" t="str">
        <f t="shared" si="20"/>
        <v>Đạt</v>
      </c>
      <c r="S86" s="10"/>
      <c r="T86" s="95"/>
    </row>
    <row r="87" spans="1:21" s="100" customFormat="1" x14ac:dyDescent="0.25">
      <c r="A87" s="19" t="s">
        <v>836</v>
      </c>
      <c r="B87" s="20" t="s">
        <v>67</v>
      </c>
      <c r="C87" s="20"/>
      <c r="D87" s="22"/>
      <c r="E87" s="104"/>
      <c r="F87" s="104"/>
      <c r="G87" s="22"/>
      <c r="H87" s="22"/>
      <c r="I87" s="22"/>
      <c r="J87" s="22"/>
      <c r="K87" s="90">
        <f>COUNTIF(J88:J121,"Đạt")</f>
        <v>2</v>
      </c>
      <c r="L87" s="98">
        <f t="shared" ref="L87:L111" si="24">M87+N87</f>
        <v>0</v>
      </c>
      <c r="M87" s="90"/>
      <c r="N87" s="90"/>
      <c r="O87" s="22"/>
      <c r="P87" s="99"/>
      <c r="Q87" s="89"/>
      <c r="R87" s="89"/>
      <c r="S87" s="90" t="s">
        <v>1204</v>
      </c>
      <c r="U87" s="84"/>
    </row>
    <row r="88" spans="1:21" s="84" customFormat="1" hidden="1" x14ac:dyDescent="0.25">
      <c r="A88" s="9" t="s">
        <v>148</v>
      </c>
      <c r="B88" s="1"/>
      <c r="C88" s="1" t="s">
        <v>855</v>
      </c>
      <c r="D88" s="82">
        <f>E88+F88</f>
        <v>10.06</v>
      </c>
      <c r="E88" s="11">
        <v>2.12</v>
      </c>
      <c r="F88" s="11">
        <v>7.94</v>
      </c>
      <c r="G88" s="15">
        <v>100</v>
      </c>
      <c r="H88" s="15">
        <v>83.1</v>
      </c>
      <c r="I88" s="12">
        <f t="shared" ref="I88:I121" si="25">SUM((IF(D88&gt;=16.24,1,0))+(IF(G88&lt;60,1,0))+(IF(H88&lt;90,1,0)))</f>
        <v>1</v>
      </c>
      <c r="J88" s="12" t="str">
        <f t="shared" ref="J88:J121" si="26">IF(I88&gt;=2,"Đạt","Không đạt")</f>
        <v>Không đạt</v>
      </c>
      <c r="K88" s="10"/>
      <c r="L88" s="96">
        <f t="shared" si="24"/>
        <v>10</v>
      </c>
      <c r="M88" s="10">
        <v>2.1</v>
      </c>
      <c r="N88" s="10">
        <v>7.9</v>
      </c>
      <c r="O88" s="15">
        <v>100</v>
      </c>
      <c r="P88" s="97">
        <v>83.2</v>
      </c>
      <c r="Q88" s="12">
        <f t="shared" ref="Q88:Q111" si="27">SUM((IF(L88&gt;=16.24,1,0))+(IF(O88&lt;60,1,0))+(IF(P88&lt;90,1,0)))</f>
        <v>1</v>
      </c>
      <c r="R88" s="12" t="str">
        <f t="shared" ref="R88:R111" si="28">IF(Q88&gt;=2,"Đạt","Không đạt")</f>
        <v>Không đạt</v>
      </c>
      <c r="S88" s="10"/>
      <c r="T88" s="95"/>
    </row>
    <row r="89" spans="1:21" s="84" customFormat="1" hidden="1" x14ac:dyDescent="0.25">
      <c r="A89" s="9" t="s">
        <v>149</v>
      </c>
      <c r="B89" s="1"/>
      <c r="C89" s="1" t="s">
        <v>856</v>
      </c>
      <c r="D89" s="82">
        <f t="shared" ref="D89:D121" si="29">E89+F89</f>
        <v>15.58</v>
      </c>
      <c r="E89" s="11">
        <v>3.28</v>
      </c>
      <c r="F89" s="11">
        <v>12.3</v>
      </c>
      <c r="G89" s="15">
        <v>100</v>
      </c>
      <c r="H89" s="15">
        <v>100</v>
      </c>
      <c r="I89" s="12">
        <f t="shared" si="25"/>
        <v>0</v>
      </c>
      <c r="J89" s="12" t="str">
        <f t="shared" si="26"/>
        <v>Không đạt</v>
      </c>
      <c r="K89" s="10"/>
      <c r="L89" s="96">
        <f t="shared" si="24"/>
        <v>16.399999999999999</v>
      </c>
      <c r="M89" s="10">
        <v>3.3</v>
      </c>
      <c r="N89" s="10">
        <v>13.1</v>
      </c>
      <c r="O89" s="15">
        <v>100</v>
      </c>
      <c r="P89" s="97">
        <v>100</v>
      </c>
      <c r="Q89" s="12">
        <f t="shared" si="27"/>
        <v>1</v>
      </c>
      <c r="R89" s="12" t="str">
        <f t="shared" si="28"/>
        <v>Không đạt</v>
      </c>
      <c r="S89" s="10"/>
      <c r="T89" s="95"/>
    </row>
    <row r="90" spans="1:21" s="84" customFormat="1" hidden="1" x14ac:dyDescent="0.25">
      <c r="A90" s="9" t="s">
        <v>150</v>
      </c>
      <c r="B90" s="1"/>
      <c r="C90" s="1" t="s">
        <v>857</v>
      </c>
      <c r="D90" s="82">
        <f t="shared" si="29"/>
        <v>10.25</v>
      </c>
      <c r="E90" s="11">
        <v>2.56</v>
      </c>
      <c r="F90" s="11">
        <v>7.69</v>
      </c>
      <c r="G90" s="15">
        <v>100</v>
      </c>
      <c r="H90" s="15">
        <v>92.3</v>
      </c>
      <c r="I90" s="12">
        <f t="shared" si="25"/>
        <v>0</v>
      </c>
      <c r="J90" s="12" t="str">
        <f t="shared" si="26"/>
        <v>Không đạt</v>
      </c>
      <c r="K90" s="10"/>
      <c r="L90" s="96">
        <f t="shared" si="24"/>
        <v>10.25</v>
      </c>
      <c r="M90" s="10">
        <v>4.2699999999999996</v>
      </c>
      <c r="N90" s="10">
        <v>5.98</v>
      </c>
      <c r="O90" s="15">
        <v>100</v>
      </c>
      <c r="P90" s="97">
        <v>92.436974789915965</v>
      </c>
      <c r="Q90" s="12">
        <f t="shared" si="27"/>
        <v>0</v>
      </c>
      <c r="R90" s="12" t="str">
        <f t="shared" si="28"/>
        <v>Không đạt</v>
      </c>
      <c r="S90" s="10"/>
      <c r="T90" s="95"/>
    </row>
    <row r="91" spans="1:21" s="84" customFormat="1" hidden="1" x14ac:dyDescent="0.25">
      <c r="A91" s="9" t="s">
        <v>151</v>
      </c>
      <c r="B91" s="1"/>
      <c r="C91" s="1" t="s">
        <v>858</v>
      </c>
      <c r="D91" s="82">
        <f t="shared" si="29"/>
        <v>17</v>
      </c>
      <c r="E91" s="11">
        <v>2</v>
      </c>
      <c r="F91" s="11">
        <v>15</v>
      </c>
      <c r="G91" s="15">
        <v>100</v>
      </c>
      <c r="H91" s="15">
        <v>82</v>
      </c>
      <c r="I91" s="12">
        <f t="shared" si="25"/>
        <v>2</v>
      </c>
      <c r="J91" s="12" t="str">
        <f t="shared" si="26"/>
        <v>Đạt</v>
      </c>
      <c r="K91" s="10"/>
      <c r="L91" s="96">
        <f t="shared" si="24"/>
        <v>17</v>
      </c>
      <c r="M91" s="10">
        <v>2</v>
      </c>
      <c r="N91" s="10">
        <v>15</v>
      </c>
      <c r="O91" s="15">
        <v>100</v>
      </c>
      <c r="P91" s="97">
        <v>82.857142857142847</v>
      </c>
      <c r="Q91" s="12">
        <f t="shared" si="27"/>
        <v>2</v>
      </c>
      <c r="R91" s="12" t="str">
        <f t="shared" si="28"/>
        <v>Đạt</v>
      </c>
      <c r="S91" s="10"/>
      <c r="T91" s="95"/>
    </row>
    <row r="92" spans="1:21" s="84" customFormat="1" hidden="1" x14ac:dyDescent="0.25">
      <c r="A92" s="9" t="s">
        <v>152</v>
      </c>
      <c r="B92" s="1"/>
      <c r="C92" s="1" t="s">
        <v>859</v>
      </c>
      <c r="D92" s="82">
        <f t="shared" si="29"/>
        <v>3.88</v>
      </c>
      <c r="E92" s="11">
        <v>2.33</v>
      </c>
      <c r="F92" s="11">
        <v>1.55</v>
      </c>
      <c r="G92" s="15">
        <v>100</v>
      </c>
      <c r="H92" s="15">
        <v>100</v>
      </c>
      <c r="I92" s="12">
        <f t="shared" si="25"/>
        <v>0</v>
      </c>
      <c r="J92" s="12" t="str">
        <f t="shared" si="26"/>
        <v>Không đạt</v>
      </c>
      <c r="K92" s="10"/>
      <c r="L92" s="96">
        <f t="shared" si="24"/>
        <v>3.76</v>
      </c>
      <c r="M92" s="10">
        <v>2.2599999999999998</v>
      </c>
      <c r="N92" s="10">
        <v>1.5</v>
      </c>
      <c r="O92" s="15">
        <v>100</v>
      </c>
      <c r="P92" s="97">
        <v>100</v>
      </c>
      <c r="Q92" s="12">
        <f t="shared" si="27"/>
        <v>0</v>
      </c>
      <c r="R92" s="12" t="str">
        <f t="shared" si="28"/>
        <v>Không đạt</v>
      </c>
      <c r="S92" s="10"/>
      <c r="T92" s="95"/>
    </row>
    <row r="93" spans="1:21" s="84" customFormat="1" ht="30" x14ac:dyDescent="0.25">
      <c r="A93" s="9" t="s">
        <v>153</v>
      </c>
      <c r="B93" s="1"/>
      <c r="C93" s="1" t="s">
        <v>860</v>
      </c>
      <c r="D93" s="82">
        <f t="shared" si="29"/>
        <v>22.22</v>
      </c>
      <c r="E93" s="11">
        <v>3.7</v>
      </c>
      <c r="F93" s="11">
        <v>18.52</v>
      </c>
      <c r="G93" s="15">
        <v>100</v>
      </c>
      <c r="H93" s="15">
        <v>88</v>
      </c>
      <c r="I93" s="12">
        <f t="shared" si="25"/>
        <v>2</v>
      </c>
      <c r="J93" s="12" t="str">
        <f t="shared" si="26"/>
        <v>Đạt</v>
      </c>
      <c r="K93" s="10"/>
      <c r="L93" s="96">
        <f t="shared" si="24"/>
        <v>17.22</v>
      </c>
      <c r="M93" s="10">
        <v>3.97</v>
      </c>
      <c r="N93" s="10">
        <v>13.25</v>
      </c>
      <c r="O93" s="15">
        <v>100</v>
      </c>
      <c r="P93" s="97">
        <v>91.156462585034021</v>
      </c>
      <c r="Q93" s="12">
        <f t="shared" si="27"/>
        <v>1</v>
      </c>
      <c r="R93" s="12" t="str">
        <f t="shared" si="28"/>
        <v>Không đạt</v>
      </c>
      <c r="S93" s="10" t="s">
        <v>1185</v>
      </c>
      <c r="T93" s="95"/>
    </row>
    <row r="94" spans="1:21" s="84" customFormat="1" hidden="1" x14ac:dyDescent="0.25">
      <c r="A94" s="9" t="s">
        <v>154</v>
      </c>
      <c r="B94" s="1"/>
      <c r="C94" s="1" t="s">
        <v>861</v>
      </c>
      <c r="D94" s="82">
        <f t="shared" si="29"/>
        <v>5.5600000000000005</v>
      </c>
      <c r="E94" s="11">
        <v>0.62</v>
      </c>
      <c r="F94" s="11">
        <v>4.9400000000000004</v>
      </c>
      <c r="G94" s="15">
        <v>100</v>
      </c>
      <c r="H94" s="15">
        <v>93.2</v>
      </c>
      <c r="I94" s="12">
        <f t="shared" si="25"/>
        <v>0</v>
      </c>
      <c r="J94" s="12" t="str">
        <f t="shared" si="26"/>
        <v>Không đạt</v>
      </c>
      <c r="K94" s="10"/>
      <c r="L94" s="96">
        <f t="shared" si="24"/>
        <v>5.5</v>
      </c>
      <c r="M94" s="10">
        <v>0.6</v>
      </c>
      <c r="N94" s="10">
        <v>4.9000000000000004</v>
      </c>
      <c r="O94" s="15">
        <v>100</v>
      </c>
      <c r="P94" s="97">
        <v>91.666666666666657</v>
      </c>
      <c r="Q94" s="12">
        <f t="shared" si="27"/>
        <v>0</v>
      </c>
      <c r="R94" s="12" t="str">
        <f t="shared" si="28"/>
        <v>Không đạt</v>
      </c>
      <c r="S94" s="10"/>
      <c r="T94" s="95"/>
    </row>
    <row r="95" spans="1:21" s="84" customFormat="1" hidden="1" x14ac:dyDescent="0.25">
      <c r="A95" s="9" t="s">
        <v>155</v>
      </c>
      <c r="B95" s="1"/>
      <c r="C95" s="1" t="s">
        <v>862</v>
      </c>
      <c r="D95" s="82">
        <f t="shared" si="29"/>
        <v>9.35</v>
      </c>
      <c r="E95" s="11">
        <v>1.44</v>
      </c>
      <c r="F95" s="11">
        <v>7.91</v>
      </c>
      <c r="G95" s="15">
        <v>100</v>
      </c>
      <c r="H95" s="15">
        <v>94.4</v>
      </c>
      <c r="I95" s="12">
        <f t="shared" si="25"/>
        <v>0</v>
      </c>
      <c r="J95" s="12" t="str">
        <f t="shared" si="26"/>
        <v>Không đạt</v>
      </c>
      <c r="K95" s="10"/>
      <c r="L95" s="96">
        <f t="shared" si="24"/>
        <v>9.3000000000000007</v>
      </c>
      <c r="M95" s="10">
        <v>1.4</v>
      </c>
      <c r="N95" s="10">
        <v>7.9</v>
      </c>
      <c r="O95" s="15">
        <v>100</v>
      </c>
      <c r="P95" s="97">
        <v>93.75</v>
      </c>
      <c r="Q95" s="12">
        <f t="shared" si="27"/>
        <v>0</v>
      </c>
      <c r="R95" s="12" t="str">
        <f t="shared" si="28"/>
        <v>Không đạt</v>
      </c>
      <c r="S95" s="10"/>
      <c r="T95" s="95"/>
    </row>
    <row r="96" spans="1:21" s="84" customFormat="1" hidden="1" x14ac:dyDescent="0.25">
      <c r="A96" s="9" t="s">
        <v>156</v>
      </c>
      <c r="B96" s="1"/>
      <c r="C96" s="1" t="s">
        <v>863</v>
      </c>
      <c r="D96" s="82">
        <f t="shared" si="29"/>
        <v>4.92</v>
      </c>
      <c r="E96" s="11">
        <v>2.46</v>
      </c>
      <c r="F96" s="11">
        <v>2.46</v>
      </c>
      <c r="G96" s="15">
        <v>100</v>
      </c>
      <c r="H96" s="15">
        <v>40.9</v>
      </c>
      <c r="I96" s="12">
        <f t="shared" si="25"/>
        <v>1</v>
      </c>
      <c r="J96" s="12" t="str">
        <f t="shared" si="26"/>
        <v>Không đạt</v>
      </c>
      <c r="K96" s="10"/>
      <c r="L96" s="96">
        <f t="shared" si="24"/>
        <v>6.26</v>
      </c>
      <c r="M96" s="10">
        <v>3.13</v>
      </c>
      <c r="N96" s="10">
        <v>3.13</v>
      </c>
      <c r="O96" s="15">
        <v>100</v>
      </c>
      <c r="P96" s="97">
        <v>25.274725274725274</v>
      </c>
      <c r="Q96" s="12">
        <f t="shared" si="27"/>
        <v>1</v>
      </c>
      <c r="R96" s="12" t="str">
        <f t="shared" si="28"/>
        <v>Không đạt</v>
      </c>
      <c r="S96" s="10"/>
      <c r="T96" s="95"/>
    </row>
    <row r="97" spans="1:20" s="84" customFormat="1" hidden="1" x14ac:dyDescent="0.25">
      <c r="A97" s="9" t="s">
        <v>157</v>
      </c>
      <c r="B97" s="1"/>
      <c r="C97" s="1" t="s">
        <v>864</v>
      </c>
      <c r="D97" s="82">
        <f t="shared" si="29"/>
        <v>8.33</v>
      </c>
      <c r="E97" s="11">
        <v>2.5</v>
      </c>
      <c r="F97" s="11">
        <v>5.83</v>
      </c>
      <c r="G97" s="15">
        <v>100</v>
      </c>
      <c r="H97" s="15">
        <v>90.350877192982466</v>
      </c>
      <c r="I97" s="12">
        <f t="shared" si="25"/>
        <v>0</v>
      </c>
      <c r="J97" s="12" t="str">
        <f t="shared" si="26"/>
        <v>Không đạt</v>
      </c>
      <c r="K97" s="10"/>
      <c r="L97" s="96">
        <f t="shared" si="24"/>
        <v>9.26</v>
      </c>
      <c r="M97" s="10">
        <v>2.78</v>
      </c>
      <c r="N97" s="10">
        <v>6.48</v>
      </c>
      <c r="O97" s="15">
        <v>100</v>
      </c>
      <c r="P97" s="97">
        <v>90.350877192982466</v>
      </c>
      <c r="Q97" s="12">
        <f t="shared" si="27"/>
        <v>0</v>
      </c>
      <c r="R97" s="12" t="str">
        <f t="shared" si="28"/>
        <v>Không đạt</v>
      </c>
      <c r="S97" s="10"/>
      <c r="T97" s="95"/>
    </row>
    <row r="98" spans="1:20" s="84" customFormat="1" hidden="1" x14ac:dyDescent="0.25">
      <c r="A98" s="9" t="s">
        <v>158</v>
      </c>
      <c r="B98" s="1"/>
      <c r="C98" s="1" t="s">
        <v>865</v>
      </c>
      <c r="D98" s="82">
        <f t="shared" si="29"/>
        <v>8.2799999999999994</v>
      </c>
      <c r="E98" s="11">
        <v>2.2599999999999998</v>
      </c>
      <c r="F98" s="11">
        <v>6.02</v>
      </c>
      <c r="G98" s="15">
        <v>100</v>
      </c>
      <c r="H98" s="15">
        <v>100</v>
      </c>
      <c r="I98" s="12">
        <f t="shared" si="25"/>
        <v>0</v>
      </c>
      <c r="J98" s="12" t="str">
        <f t="shared" si="26"/>
        <v>Không đạt</v>
      </c>
      <c r="K98" s="10"/>
      <c r="L98" s="96">
        <f t="shared" si="24"/>
        <v>4.74</v>
      </c>
      <c r="M98" s="10">
        <v>2.37</v>
      </c>
      <c r="N98" s="10">
        <v>2.37</v>
      </c>
      <c r="O98" s="15">
        <v>100</v>
      </c>
      <c r="P98" s="97">
        <v>100</v>
      </c>
      <c r="Q98" s="12">
        <f t="shared" si="27"/>
        <v>0</v>
      </c>
      <c r="R98" s="12" t="str">
        <f t="shared" si="28"/>
        <v>Không đạt</v>
      </c>
      <c r="S98" s="10"/>
      <c r="T98" s="95"/>
    </row>
    <row r="99" spans="1:20" s="84" customFormat="1" hidden="1" x14ac:dyDescent="0.25">
      <c r="A99" s="9" t="s">
        <v>159</v>
      </c>
      <c r="B99" s="1"/>
      <c r="C99" s="1" t="s">
        <v>1174</v>
      </c>
      <c r="D99" s="82">
        <f t="shared" si="29"/>
        <v>6.97</v>
      </c>
      <c r="E99" s="11">
        <v>1</v>
      </c>
      <c r="F99" s="11">
        <v>5.97</v>
      </c>
      <c r="G99" s="15">
        <v>100</v>
      </c>
      <c r="H99" s="15">
        <v>100</v>
      </c>
      <c r="I99" s="12">
        <f t="shared" si="25"/>
        <v>0</v>
      </c>
      <c r="J99" s="12" t="str">
        <f t="shared" si="26"/>
        <v>Không đạt</v>
      </c>
      <c r="K99" s="10"/>
      <c r="L99" s="96">
        <f t="shared" si="24"/>
        <v>11.67</v>
      </c>
      <c r="M99" s="10">
        <v>1.67</v>
      </c>
      <c r="N99" s="10">
        <v>10</v>
      </c>
      <c r="O99" s="15">
        <v>100</v>
      </c>
      <c r="P99" s="97">
        <v>100</v>
      </c>
      <c r="Q99" s="12">
        <f t="shared" si="27"/>
        <v>0</v>
      </c>
      <c r="R99" s="12" t="str">
        <f t="shared" si="28"/>
        <v>Không đạt</v>
      </c>
      <c r="S99" s="10"/>
      <c r="T99" s="95"/>
    </row>
    <row r="100" spans="1:20" s="84" customFormat="1" hidden="1" x14ac:dyDescent="0.25">
      <c r="A100" s="9" t="s">
        <v>160</v>
      </c>
      <c r="B100" s="1"/>
      <c r="C100" s="1" t="s">
        <v>1175</v>
      </c>
      <c r="D100" s="82">
        <f t="shared" si="29"/>
        <v>7.11</v>
      </c>
      <c r="E100" s="11">
        <v>1.78</v>
      </c>
      <c r="F100" s="11">
        <v>5.33</v>
      </c>
      <c r="G100" s="15">
        <v>100</v>
      </c>
      <c r="H100" s="15">
        <v>70.400000000000006</v>
      </c>
      <c r="I100" s="12">
        <f t="shared" si="25"/>
        <v>1</v>
      </c>
      <c r="J100" s="12" t="str">
        <f t="shared" si="26"/>
        <v>Không đạt</v>
      </c>
      <c r="K100" s="10"/>
      <c r="L100" s="96">
        <f t="shared" si="24"/>
        <v>9.84</v>
      </c>
      <c r="M100" s="10">
        <v>2.46</v>
      </c>
      <c r="N100" s="10">
        <v>7.38</v>
      </c>
      <c r="O100" s="15">
        <v>100</v>
      </c>
      <c r="P100" s="97">
        <v>70.400000000000006</v>
      </c>
      <c r="Q100" s="12">
        <f t="shared" si="27"/>
        <v>1</v>
      </c>
      <c r="R100" s="12" t="str">
        <f t="shared" si="28"/>
        <v>Không đạt</v>
      </c>
      <c r="S100" s="10"/>
      <c r="T100" s="95"/>
    </row>
    <row r="101" spans="1:20" s="84" customFormat="1" hidden="1" x14ac:dyDescent="0.25">
      <c r="A101" s="9" t="s">
        <v>161</v>
      </c>
      <c r="B101" s="1"/>
      <c r="C101" s="1" t="s">
        <v>1176</v>
      </c>
      <c r="D101" s="82">
        <f t="shared" si="29"/>
        <v>11.46</v>
      </c>
      <c r="E101" s="11">
        <v>4.17</v>
      </c>
      <c r="F101" s="11">
        <v>7.29</v>
      </c>
      <c r="G101" s="15">
        <v>100</v>
      </c>
      <c r="H101" s="15">
        <v>94.5</v>
      </c>
      <c r="I101" s="12">
        <f t="shared" si="25"/>
        <v>0</v>
      </c>
      <c r="J101" s="12" t="str">
        <f t="shared" si="26"/>
        <v>Không đạt</v>
      </c>
      <c r="K101" s="10"/>
      <c r="L101" s="96">
        <f t="shared" si="24"/>
        <v>8.5300000000000011</v>
      </c>
      <c r="M101" s="10">
        <v>3.88</v>
      </c>
      <c r="N101" s="10">
        <v>4.6500000000000004</v>
      </c>
      <c r="O101" s="15">
        <v>100</v>
      </c>
      <c r="P101" s="97">
        <v>94.5</v>
      </c>
      <c r="Q101" s="12">
        <f t="shared" si="27"/>
        <v>0</v>
      </c>
      <c r="R101" s="12" t="str">
        <f t="shared" si="28"/>
        <v>Không đạt</v>
      </c>
      <c r="S101" s="10"/>
      <c r="T101" s="95"/>
    </row>
    <row r="102" spans="1:20" s="84" customFormat="1" hidden="1" x14ac:dyDescent="0.25">
      <c r="A102" s="9" t="s">
        <v>162</v>
      </c>
      <c r="B102" s="1"/>
      <c r="C102" s="1" t="s">
        <v>866</v>
      </c>
      <c r="D102" s="82">
        <f t="shared" si="29"/>
        <v>13.91</v>
      </c>
      <c r="E102" s="11">
        <v>2.65</v>
      </c>
      <c r="F102" s="11">
        <v>11.26</v>
      </c>
      <c r="G102" s="15">
        <v>100</v>
      </c>
      <c r="H102" s="15">
        <v>81.5</v>
      </c>
      <c r="I102" s="12">
        <f t="shared" si="25"/>
        <v>1</v>
      </c>
      <c r="J102" s="12" t="str">
        <f t="shared" si="26"/>
        <v>Không đạt</v>
      </c>
      <c r="K102" s="10"/>
      <c r="L102" s="96">
        <f t="shared" si="24"/>
        <v>10.950000000000001</v>
      </c>
      <c r="M102" s="10">
        <v>2.4900000000000002</v>
      </c>
      <c r="N102" s="10">
        <v>8.4600000000000009</v>
      </c>
      <c r="O102" s="15">
        <v>100</v>
      </c>
      <c r="P102" s="97">
        <v>85.786802030456855</v>
      </c>
      <c r="Q102" s="12">
        <f t="shared" si="27"/>
        <v>1</v>
      </c>
      <c r="R102" s="12" t="str">
        <f t="shared" si="28"/>
        <v>Không đạt</v>
      </c>
      <c r="S102" s="10"/>
      <c r="T102" s="95"/>
    </row>
    <row r="103" spans="1:20" s="84" customFormat="1" hidden="1" x14ac:dyDescent="0.25">
      <c r="A103" s="9" t="s">
        <v>163</v>
      </c>
      <c r="B103" s="1"/>
      <c r="C103" s="1" t="s">
        <v>837</v>
      </c>
      <c r="D103" s="82">
        <f t="shared" si="29"/>
        <v>6.15</v>
      </c>
      <c r="E103" s="11">
        <v>3.59</v>
      </c>
      <c r="F103" s="11">
        <v>2.56</v>
      </c>
      <c r="G103" s="15">
        <v>100</v>
      </c>
      <c r="H103" s="15">
        <v>85.4</v>
      </c>
      <c r="I103" s="12">
        <f t="shared" si="25"/>
        <v>1</v>
      </c>
      <c r="J103" s="12" t="str">
        <f t="shared" si="26"/>
        <v>Không đạt</v>
      </c>
      <c r="K103" s="10"/>
      <c r="L103" s="96">
        <f t="shared" si="24"/>
        <v>6.2</v>
      </c>
      <c r="M103" s="10">
        <v>3.6</v>
      </c>
      <c r="N103" s="10">
        <v>2.6</v>
      </c>
      <c r="O103" s="15">
        <v>100</v>
      </c>
      <c r="P103" s="97">
        <v>84</v>
      </c>
      <c r="Q103" s="12">
        <f t="shared" si="27"/>
        <v>1</v>
      </c>
      <c r="R103" s="12" t="str">
        <f t="shared" si="28"/>
        <v>Không đạt</v>
      </c>
      <c r="S103" s="10"/>
      <c r="T103" s="95"/>
    </row>
    <row r="104" spans="1:20" s="84" customFormat="1" hidden="1" x14ac:dyDescent="0.25">
      <c r="A104" s="9" t="s">
        <v>164</v>
      </c>
      <c r="B104" s="1"/>
      <c r="C104" s="1" t="s">
        <v>838</v>
      </c>
      <c r="D104" s="82">
        <f t="shared" si="29"/>
        <v>5.55</v>
      </c>
      <c r="E104" s="11">
        <v>2.38</v>
      </c>
      <c r="F104" s="11">
        <v>3.17</v>
      </c>
      <c r="G104" s="15">
        <v>100</v>
      </c>
      <c r="H104" s="15">
        <v>96</v>
      </c>
      <c r="I104" s="12">
        <f t="shared" si="25"/>
        <v>0</v>
      </c>
      <c r="J104" s="12" t="str">
        <f t="shared" si="26"/>
        <v>Không đạt</v>
      </c>
      <c r="K104" s="10"/>
      <c r="L104" s="96">
        <f t="shared" si="24"/>
        <v>5.6</v>
      </c>
      <c r="M104" s="10">
        <v>2.4</v>
      </c>
      <c r="N104" s="10">
        <v>3.2</v>
      </c>
      <c r="O104" s="15">
        <v>100</v>
      </c>
      <c r="P104" s="97">
        <v>95.7</v>
      </c>
      <c r="Q104" s="12">
        <f t="shared" si="27"/>
        <v>0</v>
      </c>
      <c r="R104" s="12" t="str">
        <f t="shared" si="28"/>
        <v>Không đạt</v>
      </c>
      <c r="S104" s="10"/>
      <c r="T104" s="95"/>
    </row>
    <row r="105" spans="1:20" s="84" customFormat="1" hidden="1" x14ac:dyDescent="0.25">
      <c r="A105" s="9" t="s">
        <v>165</v>
      </c>
      <c r="B105" s="1"/>
      <c r="C105" s="1" t="s">
        <v>839</v>
      </c>
      <c r="D105" s="82">
        <f t="shared" si="29"/>
        <v>2.4300000000000002</v>
      </c>
      <c r="E105" s="11">
        <v>0.61</v>
      </c>
      <c r="F105" s="11">
        <v>1.82</v>
      </c>
      <c r="G105" s="15">
        <v>100</v>
      </c>
      <c r="H105" s="15">
        <v>98.1</v>
      </c>
      <c r="I105" s="12">
        <f t="shared" si="25"/>
        <v>0</v>
      </c>
      <c r="J105" s="12" t="str">
        <f t="shared" si="26"/>
        <v>Không đạt</v>
      </c>
      <c r="K105" s="10"/>
      <c r="L105" s="96">
        <f t="shared" si="24"/>
        <v>2.4</v>
      </c>
      <c r="M105" s="10">
        <v>0.6</v>
      </c>
      <c r="N105" s="10">
        <v>1.8</v>
      </c>
      <c r="O105" s="15">
        <v>100</v>
      </c>
      <c r="P105" s="97">
        <v>98</v>
      </c>
      <c r="Q105" s="12">
        <f t="shared" si="27"/>
        <v>0</v>
      </c>
      <c r="R105" s="12" t="str">
        <f t="shared" si="28"/>
        <v>Không đạt</v>
      </c>
      <c r="S105" s="10"/>
      <c r="T105" s="95"/>
    </row>
    <row r="106" spans="1:20" s="84" customFormat="1" hidden="1" x14ac:dyDescent="0.25">
      <c r="A106" s="9" t="s">
        <v>166</v>
      </c>
      <c r="B106" s="1"/>
      <c r="C106" s="1" t="s">
        <v>840</v>
      </c>
      <c r="D106" s="82">
        <f t="shared" si="29"/>
        <v>4.92</v>
      </c>
      <c r="E106" s="11">
        <v>2.46</v>
      </c>
      <c r="F106" s="11">
        <v>2.46</v>
      </c>
      <c r="G106" s="15">
        <v>100</v>
      </c>
      <c r="H106" s="15">
        <v>99.2</v>
      </c>
      <c r="I106" s="12">
        <f t="shared" si="25"/>
        <v>0</v>
      </c>
      <c r="J106" s="12" t="str">
        <f t="shared" si="26"/>
        <v>Không đạt</v>
      </c>
      <c r="K106" s="10"/>
      <c r="L106" s="96">
        <f t="shared" si="24"/>
        <v>5</v>
      </c>
      <c r="M106" s="10">
        <v>2.5</v>
      </c>
      <c r="N106" s="10">
        <v>2.5</v>
      </c>
      <c r="O106" s="15">
        <v>100</v>
      </c>
      <c r="P106" s="97">
        <v>99.2</v>
      </c>
      <c r="Q106" s="12">
        <f t="shared" si="27"/>
        <v>0</v>
      </c>
      <c r="R106" s="12" t="str">
        <f t="shared" si="28"/>
        <v>Không đạt</v>
      </c>
      <c r="S106" s="10"/>
      <c r="T106" s="95"/>
    </row>
    <row r="107" spans="1:20" s="84" customFormat="1" hidden="1" x14ac:dyDescent="0.25">
      <c r="A107" s="9" t="s">
        <v>167</v>
      </c>
      <c r="B107" s="1"/>
      <c r="C107" s="1" t="s">
        <v>841</v>
      </c>
      <c r="D107" s="82">
        <f t="shared" si="29"/>
        <v>5.76</v>
      </c>
      <c r="E107" s="11">
        <v>2.88</v>
      </c>
      <c r="F107" s="11">
        <v>2.88</v>
      </c>
      <c r="G107" s="15">
        <v>100</v>
      </c>
      <c r="H107" s="15">
        <v>100</v>
      </c>
      <c r="I107" s="12">
        <f t="shared" si="25"/>
        <v>0</v>
      </c>
      <c r="J107" s="12" t="str">
        <f t="shared" si="26"/>
        <v>Không đạt</v>
      </c>
      <c r="K107" s="10"/>
      <c r="L107" s="96">
        <f t="shared" si="24"/>
        <v>5.8</v>
      </c>
      <c r="M107" s="10">
        <v>2.9</v>
      </c>
      <c r="N107" s="10">
        <v>2.9</v>
      </c>
      <c r="O107" s="15">
        <v>100</v>
      </c>
      <c r="P107" s="97">
        <v>100</v>
      </c>
      <c r="Q107" s="12">
        <f t="shared" si="27"/>
        <v>0</v>
      </c>
      <c r="R107" s="12" t="str">
        <f t="shared" si="28"/>
        <v>Không đạt</v>
      </c>
      <c r="S107" s="10"/>
      <c r="T107" s="95"/>
    </row>
    <row r="108" spans="1:20" s="84" customFormat="1" hidden="1" x14ac:dyDescent="0.25">
      <c r="A108" s="9" t="s">
        <v>168</v>
      </c>
      <c r="B108" s="1"/>
      <c r="C108" s="1" t="s">
        <v>842</v>
      </c>
      <c r="D108" s="82">
        <f t="shared" si="29"/>
        <v>2.82</v>
      </c>
      <c r="E108" s="11">
        <v>1.41</v>
      </c>
      <c r="F108" s="11">
        <v>1.41</v>
      </c>
      <c r="G108" s="15">
        <v>100</v>
      </c>
      <c r="H108" s="15">
        <v>92.3</v>
      </c>
      <c r="I108" s="12">
        <f t="shared" si="25"/>
        <v>0</v>
      </c>
      <c r="J108" s="12" t="str">
        <f t="shared" si="26"/>
        <v>Không đạt</v>
      </c>
      <c r="K108" s="10"/>
      <c r="L108" s="96">
        <f t="shared" si="24"/>
        <v>2.8</v>
      </c>
      <c r="M108" s="10">
        <v>1.4</v>
      </c>
      <c r="N108" s="10">
        <v>1.4</v>
      </c>
      <c r="O108" s="15">
        <v>100</v>
      </c>
      <c r="P108" s="97">
        <v>91.2</v>
      </c>
      <c r="Q108" s="12">
        <f t="shared" si="27"/>
        <v>0</v>
      </c>
      <c r="R108" s="12" t="str">
        <f t="shared" si="28"/>
        <v>Không đạt</v>
      </c>
      <c r="S108" s="10"/>
      <c r="T108" s="95"/>
    </row>
    <row r="109" spans="1:20" s="84" customFormat="1" hidden="1" x14ac:dyDescent="0.25">
      <c r="A109" s="9" t="s">
        <v>169</v>
      </c>
      <c r="B109" s="1"/>
      <c r="C109" s="1" t="s">
        <v>843</v>
      </c>
      <c r="D109" s="82">
        <f t="shared" si="29"/>
        <v>2.96</v>
      </c>
      <c r="E109" s="11">
        <v>1.18</v>
      </c>
      <c r="F109" s="11">
        <v>1.78</v>
      </c>
      <c r="G109" s="15">
        <v>100</v>
      </c>
      <c r="H109" s="15">
        <v>83</v>
      </c>
      <c r="I109" s="12">
        <f t="shared" si="25"/>
        <v>1</v>
      </c>
      <c r="J109" s="12" t="str">
        <f t="shared" si="26"/>
        <v>Không đạt</v>
      </c>
      <c r="K109" s="10"/>
      <c r="L109" s="96">
        <f t="shared" si="24"/>
        <v>3</v>
      </c>
      <c r="M109" s="10">
        <v>1.2</v>
      </c>
      <c r="N109" s="10">
        <v>1.8</v>
      </c>
      <c r="O109" s="15">
        <v>100</v>
      </c>
      <c r="P109" s="97">
        <v>82.389937106918239</v>
      </c>
      <c r="Q109" s="12">
        <f t="shared" si="27"/>
        <v>1</v>
      </c>
      <c r="R109" s="12" t="str">
        <f t="shared" si="28"/>
        <v>Không đạt</v>
      </c>
      <c r="S109" s="10"/>
      <c r="T109" s="95"/>
    </row>
    <row r="110" spans="1:20" s="84" customFormat="1" hidden="1" x14ac:dyDescent="0.25">
      <c r="A110" s="9" t="s">
        <v>170</v>
      </c>
      <c r="B110" s="1"/>
      <c r="C110" s="1" t="s">
        <v>844</v>
      </c>
      <c r="D110" s="82">
        <f t="shared" si="29"/>
        <v>6.16</v>
      </c>
      <c r="E110" s="11">
        <v>2.31</v>
      </c>
      <c r="F110" s="11">
        <v>3.85</v>
      </c>
      <c r="G110" s="15">
        <v>100</v>
      </c>
      <c r="H110" s="15">
        <v>96.9</v>
      </c>
      <c r="I110" s="12">
        <f t="shared" si="25"/>
        <v>0</v>
      </c>
      <c r="J110" s="12" t="str">
        <f t="shared" si="26"/>
        <v>Không đạt</v>
      </c>
      <c r="K110" s="10"/>
      <c r="L110" s="96">
        <f t="shared" si="24"/>
        <v>6.1999999999999993</v>
      </c>
      <c r="M110" s="10">
        <v>2.2999999999999998</v>
      </c>
      <c r="N110" s="10">
        <v>3.9</v>
      </c>
      <c r="O110" s="15">
        <v>100</v>
      </c>
      <c r="P110" s="97">
        <v>96.491228070175453</v>
      </c>
      <c r="Q110" s="12">
        <f t="shared" si="27"/>
        <v>0</v>
      </c>
      <c r="R110" s="12" t="str">
        <f t="shared" si="28"/>
        <v>Không đạt</v>
      </c>
      <c r="S110" s="10"/>
      <c r="T110" s="95"/>
    </row>
    <row r="111" spans="1:20" s="84" customFormat="1" hidden="1" x14ac:dyDescent="0.25">
      <c r="A111" s="9" t="s">
        <v>171</v>
      </c>
      <c r="B111" s="1"/>
      <c r="C111" s="1" t="s">
        <v>845</v>
      </c>
      <c r="D111" s="82">
        <f t="shared" si="29"/>
        <v>5.18</v>
      </c>
      <c r="E111" s="11">
        <v>2.2200000000000002</v>
      </c>
      <c r="F111" s="11">
        <v>2.96</v>
      </c>
      <c r="G111" s="15">
        <v>100</v>
      </c>
      <c r="H111" s="15">
        <v>100</v>
      </c>
      <c r="I111" s="12">
        <f t="shared" si="25"/>
        <v>0</v>
      </c>
      <c r="J111" s="12" t="str">
        <f t="shared" si="26"/>
        <v>Không đạt</v>
      </c>
      <c r="K111" s="10"/>
      <c r="L111" s="96">
        <f t="shared" si="24"/>
        <v>5.2</v>
      </c>
      <c r="M111" s="10">
        <v>2.2000000000000002</v>
      </c>
      <c r="N111" s="10">
        <v>3</v>
      </c>
      <c r="O111" s="15">
        <v>100</v>
      </c>
      <c r="P111" s="97">
        <v>100</v>
      </c>
      <c r="Q111" s="12">
        <f t="shared" si="27"/>
        <v>0</v>
      </c>
      <c r="R111" s="12" t="str">
        <f t="shared" si="28"/>
        <v>Không đạt</v>
      </c>
      <c r="S111" s="10"/>
      <c r="T111" s="95"/>
    </row>
    <row r="112" spans="1:20" s="84" customFormat="1" hidden="1" x14ac:dyDescent="0.25">
      <c r="A112" s="9" t="s">
        <v>172</v>
      </c>
      <c r="B112" s="1"/>
      <c r="C112" s="1" t="s">
        <v>846</v>
      </c>
      <c r="D112" s="82">
        <f t="shared" si="29"/>
        <v>4.96</v>
      </c>
      <c r="E112" s="11">
        <v>2.48</v>
      </c>
      <c r="F112" s="11">
        <v>2.48</v>
      </c>
      <c r="G112" s="15">
        <v>100</v>
      </c>
      <c r="H112" s="15">
        <v>100</v>
      </c>
      <c r="I112" s="12">
        <f t="shared" si="25"/>
        <v>0</v>
      </c>
      <c r="J112" s="12" t="str">
        <f t="shared" si="26"/>
        <v>Không đạt</v>
      </c>
      <c r="K112" s="10"/>
      <c r="L112" s="96">
        <f t="shared" ref="L112:L121" si="30">M112+N112</f>
        <v>5</v>
      </c>
      <c r="M112" s="10">
        <v>2.5</v>
      </c>
      <c r="N112" s="10">
        <v>2.5</v>
      </c>
      <c r="O112" s="15">
        <v>100</v>
      </c>
      <c r="P112" s="97">
        <v>100</v>
      </c>
      <c r="Q112" s="12">
        <f t="shared" ref="Q112:Q121" si="31">SUM((IF(L112&gt;=16.24,1,0))+(IF(O112&lt;60,1,0))+(IF(P112&lt;90,1,0)))</f>
        <v>0</v>
      </c>
      <c r="R112" s="12" t="str">
        <f t="shared" ref="R112:R121" si="32">IF(Q112&gt;=2,"Đạt","Không đạt")</f>
        <v>Không đạt</v>
      </c>
      <c r="S112" s="10"/>
      <c r="T112" s="95"/>
    </row>
    <row r="113" spans="1:21" s="84" customFormat="1" hidden="1" x14ac:dyDescent="0.25">
      <c r="A113" s="9" t="s">
        <v>173</v>
      </c>
      <c r="B113" s="1"/>
      <c r="C113" s="1" t="s">
        <v>847</v>
      </c>
      <c r="D113" s="82">
        <f t="shared" si="29"/>
        <v>0</v>
      </c>
      <c r="E113" s="11">
        <v>0</v>
      </c>
      <c r="F113" s="11">
        <v>0</v>
      </c>
      <c r="G113" s="15">
        <v>100</v>
      </c>
      <c r="H113" s="15">
        <v>97.9</v>
      </c>
      <c r="I113" s="12">
        <f t="shared" si="25"/>
        <v>0</v>
      </c>
      <c r="J113" s="12" t="str">
        <f t="shared" si="26"/>
        <v>Không đạt</v>
      </c>
      <c r="K113" s="10"/>
      <c r="L113" s="96">
        <f t="shared" si="30"/>
        <v>0</v>
      </c>
      <c r="M113" s="10">
        <v>0</v>
      </c>
      <c r="N113" s="10">
        <v>0</v>
      </c>
      <c r="O113" s="15">
        <v>100</v>
      </c>
      <c r="P113" s="97">
        <v>97.9</v>
      </c>
      <c r="Q113" s="12">
        <f t="shared" si="31"/>
        <v>0</v>
      </c>
      <c r="R113" s="12" t="str">
        <f t="shared" si="32"/>
        <v>Không đạt</v>
      </c>
      <c r="S113" s="10"/>
      <c r="T113" s="95"/>
    </row>
    <row r="114" spans="1:21" s="84" customFormat="1" hidden="1" x14ac:dyDescent="0.25">
      <c r="A114" s="9" t="s">
        <v>174</v>
      </c>
      <c r="B114" s="1"/>
      <c r="C114" s="1" t="s">
        <v>264</v>
      </c>
      <c r="D114" s="82">
        <f t="shared" si="29"/>
        <v>1.46</v>
      </c>
      <c r="E114" s="11">
        <v>1.46</v>
      </c>
      <c r="F114" s="11">
        <v>0</v>
      </c>
      <c r="G114" s="15">
        <v>100</v>
      </c>
      <c r="H114" s="15">
        <v>78.3</v>
      </c>
      <c r="I114" s="12">
        <f t="shared" si="25"/>
        <v>1</v>
      </c>
      <c r="J114" s="12" t="str">
        <f t="shared" si="26"/>
        <v>Không đạt</v>
      </c>
      <c r="K114" s="10"/>
      <c r="L114" s="96">
        <f t="shared" si="30"/>
        <v>1.5</v>
      </c>
      <c r="M114" s="10">
        <v>1.5</v>
      </c>
      <c r="N114" s="10">
        <v>0</v>
      </c>
      <c r="O114" s="15">
        <v>100</v>
      </c>
      <c r="P114" s="97">
        <v>78</v>
      </c>
      <c r="Q114" s="12">
        <f t="shared" si="31"/>
        <v>1</v>
      </c>
      <c r="R114" s="12" t="str">
        <f t="shared" si="32"/>
        <v>Không đạt</v>
      </c>
      <c r="S114" s="10"/>
      <c r="T114" s="95"/>
    </row>
    <row r="115" spans="1:21" s="84" customFormat="1" hidden="1" x14ac:dyDescent="0.25">
      <c r="A115" s="9" t="s">
        <v>175</v>
      </c>
      <c r="B115" s="1"/>
      <c r="C115" s="1" t="s">
        <v>848</v>
      </c>
      <c r="D115" s="82">
        <f t="shared" si="29"/>
        <v>2.98</v>
      </c>
      <c r="E115" s="11">
        <v>1.79</v>
      </c>
      <c r="F115" s="11">
        <v>1.19</v>
      </c>
      <c r="G115" s="15">
        <v>100</v>
      </c>
      <c r="H115" s="15">
        <v>91.7</v>
      </c>
      <c r="I115" s="12">
        <f t="shared" si="25"/>
        <v>0</v>
      </c>
      <c r="J115" s="12" t="str">
        <f t="shared" si="26"/>
        <v>Không đạt</v>
      </c>
      <c r="K115" s="10"/>
      <c r="L115" s="96">
        <f t="shared" si="30"/>
        <v>3</v>
      </c>
      <c r="M115" s="10">
        <v>1.8</v>
      </c>
      <c r="N115" s="10">
        <v>1.2</v>
      </c>
      <c r="O115" s="15">
        <v>100</v>
      </c>
      <c r="P115" s="97">
        <v>92.045454545454547</v>
      </c>
      <c r="Q115" s="12">
        <f t="shared" si="31"/>
        <v>0</v>
      </c>
      <c r="R115" s="12" t="str">
        <f t="shared" si="32"/>
        <v>Không đạt</v>
      </c>
      <c r="S115" s="10"/>
      <c r="T115" s="95"/>
    </row>
    <row r="116" spans="1:21" s="84" customFormat="1" hidden="1" x14ac:dyDescent="0.25">
      <c r="A116" s="9" t="s">
        <v>176</v>
      </c>
      <c r="B116" s="1"/>
      <c r="C116" s="1" t="s">
        <v>849</v>
      </c>
      <c r="D116" s="82">
        <f t="shared" si="29"/>
        <v>4.2</v>
      </c>
      <c r="E116" s="11">
        <v>2.1</v>
      </c>
      <c r="F116" s="11">
        <v>2.1</v>
      </c>
      <c r="G116" s="15">
        <v>100</v>
      </c>
      <c r="H116" s="15">
        <v>92.3</v>
      </c>
      <c r="I116" s="12">
        <f t="shared" si="25"/>
        <v>0</v>
      </c>
      <c r="J116" s="12" t="str">
        <f t="shared" si="26"/>
        <v>Không đạt</v>
      </c>
      <c r="K116" s="10"/>
      <c r="L116" s="96">
        <f t="shared" si="30"/>
        <v>4.2</v>
      </c>
      <c r="M116" s="10">
        <v>2.1</v>
      </c>
      <c r="N116" s="10">
        <v>2.1</v>
      </c>
      <c r="O116" s="15">
        <v>100</v>
      </c>
      <c r="P116" s="97">
        <v>92.567567567567565</v>
      </c>
      <c r="Q116" s="12">
        <f t="shared" si="31"/>
        <v>0</v>
      </c>
      <c r="R116" s="12" t="str">
        <f t="shared" si="32"/>
        <v>Không đạt</v>
      </c>
      <c r="S116" s="10"/>
      <c r="T116" s="95"/>
    </row>
    <row r="117" spans="1:21" s="84" customFormat="1" hidden="1" x14ac:dyDescent="0.25">
      <c r="A117" s="9" t="s">
        <v>177</v>
      </c>
      <c r="B117" s="1"/>
      <c r="C117" s="1" t="s">
        <v>850</v>
      </c>
      <c r="D117" s="82">
        <f t="shared" si="29"/>
        <v>3.38</v>
      </c>
      <c r="E117" s="11">
        <v>1.35</v>
      </c>
      <c r="F117" s="11">
        <v>2.0299999999999998</v>
      </c>
      <c r="G117" s="15">
        <v>100</v>
      </c>
      <c r="H117" s="15">
        <v>77.7</v>
      </c>
      <c r="I117" s="12">
        <f t="shared" si="25"/>
        <v>1</v>
      </c>
      <c r="J117" s="12" t="str">
        <f t="shared" si="26"/>
        <v>Không đạt</v>
      </c>
      <c r="K117" s="10"/>
      <c r="L117" s="96">
        <f t="shared" si="30"/>
        <v>3.4</v>
      </c>
      <c r="M117" s="10">
        <v>1.4</v>
      </c>
      <c r="N117" s="10">
        <v>2</v>
      </c>
      <c r="O117" s="15">
        <v>100</v>
      </c>
      <c r="P117" s="97">
        <v>78.84615384615384</v>
      </c>
      <c r="Q117" s="12">
        <f t="shared" si="31"/>
        <v>1</v>
      </c>
      <c r="R117" s="12" t="str">
        <f t="shared" si="32"/>
        <v>Không đạt</v>
      </c>
      <c r="S117" s="10"/>
      <c r="T117" s="95"/>
    </row>
    <row r="118" spans="1:21" s="84" customFormat="1" hidden="1" x14ac:dyDescent="0.25">
      <c r="A118" s="9" t="s">
        <v>178</v>
      </c>
      <c r="B118" s="1"/>
      <c r="C118" s="1" t="s">
        <v>851</v>
      </c>
      <c r="D118" s="82">
        <f t="shared" si="29"/>
        <v>3.71</v>
      </c>
      <c r="E118" s="11">
        <v>2.65</v>
      </c>
      <c r="F118" s="11">
        <v>1.06</v>
      </c>
      <c r="G118" s="15">
        <v>100</v>
      </c>
      <c r="H118" s="15">
        <v>100</v>
      </c>
      <c r="I118" s="12">
        <f t="shared" si="25"/>
        <v>0</v>
      </c>
      <c r="J118" s="12" t="str">
        <f t="shared" si="26"/>
        <v>Không đạt</v>
      </c>
      <c r="K118" s="10"/>
      <c r="L118" s="96">
        <f t="shared" si="30"/>
        <v>3.72</v>
      </c>
      <c r="M118" s="10">
        <v>2.66</v>
      </c>
      <c r="N118" s="10">
        <v>1.06</v>
      </c>
      <c r="O118" s="15">
        <v>100</v>
      </c>
      <c r="P118" s="97">
        <v>100</v>
      </c>
      <c r="Q118" s="12">
        <f t="shared" si="31"/>
        <v>0</v>
      </c>
      <c r="R118" s="12" t="str">
        <f t="shared" si="32"/>
        <v>Không đạt</v>
      </c>
      <c r="S118" s="10"/>
      <c r="T118" s="95"/>
    </row>
    <row r="119" spans="1:21" s="84" customFormat="1" hidden="1" x14ac:dyDescent="0.25">
      <c r="A119" s="9" t="s">
        <v>179</v>
      </c>
      <c r="B119" s="1"/>
      <c r="C119" s="1" t="s">
        <v>852</v>
      </c>
      <c r="D119" s="82">
        <f t="shared" si="29"/>
        <v>7.28</v>
      </c>
      <c r="E119" s="11">
        <v>2.91</v>
      </c>
      <c r="F119" s="11">
        <v>4.37</v>
      </c>
      <c r="G119" s="15">
        <v>100</v>
      </c>
      <c r="H119" s="15">
        <v>69.900000000000006</v>
      </c>
      <c r="I119" s="12">
        <f t="shared" si="25"/>
        <v>1</v>
      </c>
      <c r="J119" s="12" t="str">
        <f t="shared" si="26"/>
        <v>Không đạt</v>
      </c>
      <c r="K119" s="10"/>
      <c r="L119" s="96">
        <f t="shared" si="30"/>
        <v>7.4700000000000006</v>
      </c>
      <c r="M119" s="10">
        <v>2.99</v>
      </c>
      <c r="N119" s="10">
        <v>4.4800000000000004</v>
      </c>
      <c r="O119" s="15">
        <v>100</v>
      </c>
      <c r="P119" s="97">
        <v>70.476190476190467</v>
      </c>
      <c r="Q119" s="12">
        <f t="shared" si="31"/>
        <v>1</v>
      </c>
      <c r="R119" s="12" t="str">
        <f t="shared" si="32"/>
        <v>Không đạt</v>
      </c>
      <c r="S119" s="10"/>
      <c r="T119" s="95"/>
    </row>
    <row r="120" spans="1:21" s="84" customFormat="1" hidden="1" x14ac:dyDescent="0.25">
      <c r="A120" s="9" t="s">
        <v>180</v>
      </c>
      <c r="B120" s="1"/>
      <c r="C120" s="1" t="s">
        <v>853</v>
      </c>
      <c r="D120" s="82">
        <f t="shared" si="29"/>
        <v>1.1399999999999999</v>
      </c>
      <c r="E120" s="11">
        <v>0.56999999999999995</v>
      </c>
      <c r="F120" s="11">
        <v>0.56999999999999995</v>
      </c>
      <c r="G120" s="15">
        <v>100</v>
      </c>
      <c r="H120" s="15">
        <v>96</v>
      </c>
      <c r="I120" s="12">
        <f t="shared" si="25"/>
        <v>0</v>
      </c>
      <c r="J120" s="12" t="str">
        <f t="shared" si="26"/>
        <v>Không đạt</v>
      </c>
      <c r="K120" s="10"/>
      <c r="L120" s="96">
        <f t="shared" si="30"/>
        <v>1.2</v>
      </c>
      <c r="M120" s="10">
        <v>0.6</v>
      </c>
      <c r="N120" s="10">
        <v>0.6</v>
      </c>
      <c r="O120" s="15">
        <v>100</v>
      </c>
      <c r="P120" s="97">
        <v>96.111111111111114</v>
      </c>
      <c r="Q120" s="12">
        <f t="shared" si="31"/>
        <v>0</v>
      </c>
      <c r="R120" s="12" t="str">
        <f t="shared" si="32"/>
        <v>Không đạt</v>
      </c>
      <c r="S120" s="10"/>
      <c r="T120" s="95"/>
    </row>
    <row r="121" spans="1:21" s="84" customFormat="1" hidden="1" x14ac:dyDescent="0.25">
      <c r="A121" s="9" t="s">
        <v>181</v>
      </c>
      <c r="B121" s="1"/>
      <c r="C121" s="1" t="s">
        <v>854</v>
      </c>
      <c r="D121" s="82">
        <f t="shared" si="29"/>
        <v>6.6099999999999994</v>
      </c>
      <c r="E121" s="11">
        <v>1.65</v>
      </c>
      <c r="F121" s="11">
        <v>4.96</v>
      </c>
      <c r="G121" s="15">
        <v>100</v>
      </c>
      <c r="H121" s="15">
        <v>86.8</v>
      </c>
      <c r="I121" s="12">
        <f t="shared" si="25"/>
        <v>1</v>
      </c>
      <c r="J121" s="12" t="str">
        <f t="shared" si="26"/>
        <v>Không đạt</v>
      </c>
      <c r="K121" s="10"/>
      <c r="L121" s="96">
        <f t="shared" si="30"/>
        <v>7.5</v>
      </c>
      <c r="M121" s="10">
        <v>1.67</v>
      </c>
      <c r="N121" s="10">
        <v>5.83</v>
      </c>
      <c r="O121" s="15">
        <v>100</v>
      </c>
      <c r="P121" s="97">
        <v>86.776859504132233</v>
      </c>
      <c r="Q121" s="12">
        <f t="shared" si="31"/>
        <v>1</v>
      </c>
      <c r="R121" s="12" t="str">
        <f t="shared" si="32"/>
        <v>Không đạt</v>
      </c>
      <c r="S121" s="10"/>
      <c r="T121" s="95"/>
    </row>
    <row r="122" spans="1:21" s="100" customFormat="1" x14ac:dyDescent="0.25">
      <c r="A122" s="19" t="s">
        <v>1046</v>
      </c>
      <c r="B122" s="20" t="s">
        <v>71</v>
      </c>
      <c r="C122" s="20"/>
      <c r="D122" s="22"/>
      <c r="E122" s="104"/>
      <c r="F122" s="104"/>
      <c r="G122" s="22"/>
      <c r="H122" s="22"/>
      <c r="I122" s="22"/>
      <c r="J122" s="22"/>
      <c r="K122" s="90">
        <f>COUNTIF(J123:J138,"Đạt")</f>
        <v>3</v>
      </c>
      <c r="L122" s="98">
        <f t="shared" ref="L122:L155" si="33">M122+N122</f>
        <v>0</v>
      </c>
      <c r="M122" s="90"/>
      <c r="N122" s="90"/>
      <c r="O122" s="22"/>
      <c r="P122" s="99"/>
      <c r="Q122" s="89"/>
      <c r="R122" s="89"/>
      <c r="S122" s="90" t="s">
        <v>1203</v>
      </c>
      <c r="U122" s="84"/>
    </row>
    <row r="123" spans="1:21" s="84" customFormat="1" hidden="1" x14ac:dyDescent="0.25">
      <c r="A123" s="9" t="s">
        <v>148</v>
      </c>
      <c r="B123" s="1"/>
      <c r="C123" s="1" t="s">
        <v>1089</v>
      </c>
      <c r="D123" s="12">
        <f t="shared" ref="D123:D137" si="34">E123+F123</f>
        <v>3.1399999999999997</v>
      </c>
      <c r="E123" s="83">
        <v>1.96</v>
      </c>
      <c r="F123" s="83">
        <v>1.18</v>
      </c>
      <c r="G123" s="12">
        <v>100</v>
      </c>
      <c r="H123" s="12">
        <v>100</v>
      </c>
      <c r="I123" s="12">
        <f t="shared" ref="I123:I137" si="35">SUM((IF(D123&gt;=16.24,1,0))+(IF(G123&lt;60,1,0))+(IF(H123&lt;90,1,0)))</f>
        <v>0</v>
      </c>
      <c r="J123" s="12" t="str">
        <f t="shared" ref="J123:J137" si="36">IF(I123&gt;=2,"Đạt","Không đạt")</f>
        <v>Không đạt</v>
      </c>
      <c r="K123" s="10"/>
      <c r="L123" s="96">
        <f t="shared" si="33"/>
        <v>3.1399999999999997</v>
      </c>
      <c r="M123" s="10">
        <v>1.96</v>
      </c>
      <c r="N123" s="10">
        <v>1.18</v>
      </c>
      <c r="O123" s="12">
        <v>100</v>
      </c>
      <c r="P123" s="97">
        <v>93.8</v>
      </c>
      <c r="Q123" s="12">
        <f t="shared" ref="Q123:Q155" si="37">SUM((IF(L123&gt;=16.24,1,0))+(IF(O123&lt;60,1,0))+(IF(P123&lt;90,1,0)))</f>
        <v>0</v>
      </c>
      <c r="R123" s="12" t="str">
        <f t="shared" ref="R123:R155" si="38">IF(Q123&gt;=2,"Đạt","Không đạt")</f>
        <v>Không đạt</v>
      </c>
      <c r="S123" s="10"/>
      <c r="T123" s="95"/>
    </row>
    <row r="124" spans="1:21" s="84" customFormat="1" hidden="1" x14ac:dyDescent="0.25">
      <c r="A124" s="9" t="s">
        <v>149</v>
      </c>
      <c r="B124" s="1"/>
      <c r="C124" s="1" t="s">
        <v>1047</v>
      </c>
      <c r="D124" s="12">
        <f t="shared" si="34"/>
        <v>6.02</v>
      </c>
      <c r="E124" s="83">
        <v>3.61</v>
      </c>
      <c r="F124" s="83">
        <v>2.41</v>
      </c>
      <c r="G124" s="12">
        <v>100</v>
      </c>
      <c r="H124" s="12">
        <v>100</v>
      </c>
      <c r="I124" s="12">
        <f t="shared" si="35"/>
        <v>0</v>
      </c>
      <c r="J124" s="12" t="str">
        <f t="shared" si="36"/>
        <v>Không đạt</v>
      </c>
      <c r="K124" s="10"/>
      <c r="L124" s="96">
        <f t="shared" si="33"/>
        <v>6.02</v>
      </c>
      <c r="M124" s="10">
        <v>3.61</v>
      </c>
      <c r="N124" s="10">
        <v>2.41</v>
      </c>
      <c r="O124" s="12">
        <v>100</v>
      </c>
      <c r="P124" s="97">
        <v>75.3</v>
      </c>
      <c r="Q124" s="12">
        <f t="shared" si="37"/>
        <v>1</v>
      </c>
      <c r="R124" s="12" t="str">
        <f t="shared" si="38"/>
        <v>Không đạt</v>
      </c>
      <c r="S124" s="10"/>
      <c r="T124" s="95"/>
    </row>
    <row r="125" spans="1:21" s="84" customFormat="1" hidden="1" x14ac:dyDescent="0.25">
      <c r="A125" s="9" t="s">
        <v>150</v>
      </c>
      <c r="B125" s="1"/>
      <c r="C125" s="1" t="s">
        <v>1048</v>
      </c>
      <c r="D125" s="12">
        <f t="shared" si="34"/>
        <v>1.75</v>
      </c>
      <c r="E125" s="83">
        <v>0.88</v>
      </c>
      <c r="F125" s="83">
        <v>0.87</v>
      </c>
      <c r="G125" s="12">
        <v>50</v>
      </c>
      <c r="H125" s="12">
        <v>90</v>
      </c>
      <c r="I125" s="12">
        <f t="shared" si="35"/>
        <v>1</v>
      </c>
      <c r="J125" s="12" t="str">
        <f t="shared" si="36"/>
        <v>Không đạt</v>
      </c>
      <c r="K125" s="10"/>
      <c r="L125" s="96">
        <f t="shared" si="33"/>
        <v>8.3000000000000007</v>
      </c>
      <c r="M125" s="10">
        <v>5.07</v>
      </c>
      <c r="N125" s="10">
        <v>3.23</v>
      </c>
      <c r="O125" s="12">
        <v>50</v>
      </c>
      <c r="P125" s="97">
        <v>100</v>
      </c>
      <c r="Q125" s="12">
        <f t="shared" si="37"/>
        <v>1</v>
      </c>
      <c r="R125" s="12" t="str">
        <f t="shared" si="38"/>
        <v>Không đạt</v>
      </c>
      <c r="S125" s="10"/>
      <c r="T125" s="95"/>
    </row>
    <row r="126" spans="1:21" s="84" customFormat="1" hidden="1" x14ac:dyDescent="0.25">
      <c r="A126" s="9" t="s">
        <v>151</v>
      </c>
      <c r="B126" s="1"/>
      <c r="C126" s="1" t="s">
        <v>1050</v>
      </c>
      <c r="D126" s="12">
        <f t="shared" si="34"/>
        <v>6.1899999999999995</v>
      </c>
      <c r="E126" s="83">
        <v>3.33</v>
      </c>
      <c r="F126" s="83">
        <v>2.86</v>
      </c>
      <c r="G126" s="12">
        <v>100</v>
      </c>
      <c r="H126" s="12">
        <v>90</v>
      </c>
      <c r="I126" s="12">
        <f t="shared" si="35"/>
        <v>0</v>
      </c>
      <c r="J126" s="12" t="str">
        <f t="shared" si="36"/>
        <v>Không đạt</v>
      </c>
      <c r="K126" s="10"/>
      <c r="L126" s="96">
        <f t="shared" si="33"/>
        <v>3.68</v>
      </c>
      <c r="M126" s="10">
        <v>3.27</v>
      </c>
      <c r="N126" s="10">
        <v>0.41</v>
      </c>
      <c r="O126" s="12">
        <v>100</v>
      </c>
      <c r="P126" s="97">
        <v>85.4</v>
      </c>
      <c r="Q126" s="12">
        <f t="shared" si="37"/>
        <v>1</v>
      </c>
      <c r="R126" s="12" t="str">
        <f t="shared" si="38"/>
        <v>Không đạt</v>
      </c>
      <c r="S126" s="10"/>
      <c r="T126" s="95"/>
    </row>
    <row r="127" spans="1:21" s="84" customFormat="1" hidden="1" x14ac:dyDescent="0.25">
      <c r="A127" s="9" t="s">
        <v>152</v>
      </c>
      <c r="B127" s="1"/>
      <c r="C127" s="1" t="s">
        <v>1057</v>
      </c>
      <c r="D127" s="12">
        <f t="shared" si="34"/>
        <v>5.17</v>
      </c>
      <c r="E127" s="83">
        <v>1.19</v>
      </c>
      <c r="F127" s="83">
        <v>3.98</v>
      </c>
      <c r="G127" s="12">
        <v>100</v>
      </c>
      <c r="H127" s="12">
        <v>90</v>
      </c>
      <c r="I127" s="12">
        <f t="shared" si="35"/>
        <v>0</v>
      </c>
      <c r="J127" s="12" t="str">
        <f t="shared" si="36"/>
        <v>Không đạt</v>
      </c>
      <c r="K127" s="10"/>
      <c r="L127" s="96">
        <f t="shared" si="33"/>
        <v>6.1400000000000006</v>
      </c>
      <c r="M127" s="10">
        <v>3.95</v>
      </c>
      <c r="N127" s="10">
        <v>2.19</v>
      </c>
      <c r="O127" s="12">
        <v>100</v>
      </c>
      <c r="P127" s="97">
        <v>100</v>
      </c>
      <c r="Q127" s="12">
        <f t="shared" si="37"/>
        <v>0</v>
      </c>
      <c r="R127" s="12" t="str">
        <f t="shared" si="38"/>
        <v>Không đạt</v>
      </c>
      <c r="S127" s="10"/>
      <c r="T127" s="95"/>
    </row>
    <row r="128" spans="1:21" s="84" customFormat="1" hidden="1" x14ac:dyDescent="0.25">
      <c r="A128" s="9" t="s">
        <v>153</v>
      </c>
      <c r="B128" s="1"/>
      <c r="C128" s="1" t="s">
        <v>1049</v>
      </c>
      <c r="D128" s="12">
        <f t="shared" si="34"/>
        <v>4.72</v>
      </c>
      <c r="E128" s="83">
        <v>1.69</v>
      </c>
      <c r="F128" s="83">
        <v>3.03</v>
      </c>
      <c r="G128" s="12">
        <v>100</v>
      </c>
      <c r="H128" s="12">
        <v>100</v>
      </c>
      <c r="I128" s="12">
        <f t="shared" si="35"/>
        <v>0</v>
      </c>
      <c r="J128" s="12" t="str">
        <f t="shared" si="36"/>
        <v>Không đạt</v>
      </c>
      <c r="K128" s="10"/>
      <c r="L128" s="96">
        <f t="shared" si="33"/>
        <v>6.34</v>
      </c>
      <c r="M128" s="10">
        <v>4.3899999999999997</v>
      </c>
      <c r="N128" s="10">
        <v>1.95</v>
      </c>
      <c r="O128" s="12">
        <v>100</v>
      </c>
      <c r="P128" s="97">
        <v>88.1</v>
      </c>
      <c r="Q128" s="12">
        <f t="shared" si="37"/>
        <v>1</v>
      </c>
      <c r="R128" s="12" t="str">
        <f t="shared" si="38"/>
        <v>Không đạt</v>
      </c>
      <c r="S128" s="10"/>
      <c r="T128" s="95"/>
    </row>
    <row r="129" spans="1:21" s="84" customFormat="1" hidden="1" x14ac:dyDescent="0.25">
      <c r="A129" s="9" t="s">
        <v>154</v>
      </c>
      <c r="B129" s="1"/>
      <c r="C129" s="1" t="s">
        <v>937</v>
      </c>
      <c r="D129" s="12">
        <f t="shared" si="34"/>
        <v>5.22</v>
      </c>
      <c r="E129" s="83">
        <v>2.0099999999999998</v>
      </c>
      <c r="F129" s="83">
        <v>3.21</v>
      </c>
      <c r="G129" s="12">
        <v>50</v>
      </c>
      <c r="H129" s="12">
        <v>90</v>
      </c>
      <c r="I129" s="12">
        <f t="shared" si="35"/>
        <v>1</v>
      </c>
      <c r="J129" s="12" t="str">
        <f t="shared" si="36"/>
        <v>Không đạt</v>
      </c>
      <c r="K129" s="10"/>
      <c r="L129" s="96">
        <f t="shared" si="33"/>
        <v>6.4399999999999995</v>
      </c>
      <c r="M129" s="10">
        <v>3.86</v>
      </c>
      <c r="N129" s="10">
        <v>2.58</v>
      </c>
      <c r="O129" s="12">
        <v>50</v>
      </c>
      <c r="P129" s="97">
        <v>92.6</v>
      </c>
      <c r="Q129" s="12">
        <f t="shared" si="37"/>
        <v>1</v>
      </c>
      <c r="R129" s="12" t="str">
        <f t="shared" si="38"/>
        <v>Không đạt</v>
      </c>
      <c r="S129" s="10"/>
      <c r="T129" s="95"/>
    </row>
    <row r="130" spans="1:21" s="84" customFormat="1" hidden="1" x14ac:dyDescent="0.25">
      <c r="A130" s="9" t="s">
        <v>155</v>
      </c>
      <c r="B130" s="1"/>
      <c r="C130" s="1" t="s">
        <v>1051</v>
      </c>
      <c r="D130" s="12">
        <f t="shared" si="34"/>
        <v>9.24</v>
      </c>
      <c r="E130" s="83">
        <v>3.26</v>
      </c>
      <c r="F130" s="83">
        <v>5.98</v>
      </c>
      <c r="G130" s="12">
        <v>50</v>
      </c>
      <c r="H130" s="12">
        <v>100</v>
      </c>
      <c r="I130" s="12">
        <f t="shared" si="35"/>
        <v>1</v>
      </c>
      <c r="J130" s="12" t="str">
        <f t="shared" si="36"/>
        <v>Không đạt</v>
      </c>
      <c r="K130" s="10"/>
      <c r="L130" s="96">
        <f t="shared" si="33"/>
        <v>7.73</v>
      </c>
      <c r="M130" s="10">
        <v>4.55</v>
      </c>
      <c r="N130" s="10">
        <v>3.18</v>
      </c>
      <c r="O130" s="12">
        <v>50</v>
      </c>
      <c r="P130" s="97">
        <v>95.2</v>
      </c>
      <c r="Q130" s="12">
        <f t="shared" si="37"/>
        <v>1</v>
      </c>
      <c r="R130" s="12" t="str">
        <f t="shared" si="38"/>
        <v>Không đạt</v>
      </c>
      <c r="S130" s="10"/>
      <c r="T130" s="95"/>
    </row>
    <row r="131" spans="1:21" s="84" customFormat="1" ht="30" x14ac:dyDescent="0.25">
      <c r="A131" s="9" t="s">
        <v>156</v>
      </c>
      <c r="B131" s="1"/>
      <c r="C131" s="1" t="s">
        <v>1052</v>
      </c>
      <c r="D131" s="12">
        <f t="shared" si="34"/>
        <v>2.68</v>
      </c>
      <c r="E131" s="83">
        <v>0.54</v>
      </c>
      <c r="F131" s="83">
        <v>2.14</v>
      </c>
      <c r="G131" s="12">
        <v>50</v>
      </c>
      <c r="H131" s="12">
        <v>85</v>
      </c>
      <c r="I131" s="12">
        <f t="shared" si="35"/>
        <v>2</v>
      </c>
      <c r="J131" s="12" t="str">
        <f t="shared" si="36"/>
        <v>Đạt</v>
      </c>
      <c r="K131" s="10"/>
      <c r="L131" s="96">
        <f t="shared" si="33"/>
        <v>11.040000000000001</v>
      </c>
      <c r="M131" s="10">
        <v>8.9700000000000006</v>
      </c>
      <c r="N131" s="10">
        <v>2.0699999999999998</v>
      </c>
      <c r="O131" s="12">
        <v>50</v>
      </c>
      <c r="P131" s="97">
        <v>94</v>
      </c>
      <c r="Q131" s="12">
        <f t="shared" si="37"/>
        <v>1</v>
      </c>
      <c r="R131" s="12" t="str">
        <f t="shared" si="38"/>
        <v>Không đạt</v>
      </c>
      <c r="S131" s="10" t="s">
        <v>1185</v>
      </c>
      <c r="T131" s="95"/>
    </row>
    <row r="132" spans="1:21" s="84" customFormat="1" hidden="1" x14ac:dyDescent="0.25">
      <c r="A132" s="9" t="s">
        <v>157</v>
      </c>
      <c r="B132" s="1"/>
      <c r="C132" s="1" t="s">
        <v>932</v>
      </c>
      <c r="D132" s="12">
        <f t="shared" si="34"/>
        <v>2.98</v>
      </c>
      <c r="E132" s="83">
        <v>1.49</v>
      </c>
      <c r="F132" s="83">
        <v>1.49</v>
      </c>
      <c r="G132" s="12">
        <v>100</v>
      </c>
      <c r="H132" s="12">
        <v>100</v>
      </c>
      <c r="I132" s="12">
        <f t="shared" si="35"/>
        <v>0</v>
      </c>
      <c r="J132" s="12" t="str">
        <f t="shared" si="36"/>
        <v>Không đạt</v>
      </c>
      <c r="K132" s="10"/>
      <c r="L132" s="96">
        <f t="shared" si="33"/>
        <v>2.98</v>
      </c>
      <c r="M132" s="10">
        <v>1.49</v>
      </c>
      <c r="N132" s="10">
        <v>1.49</v>
      </c>
      <c r="O132" s="12">
        <v>100</v>
      </c>
      <c r="P132" s="97">
        <v>100</v>
      </c>
      <c r="Q132" s="12">
        <f t="shared" si="37"/>
        <v>0</v>
      </c>
      <c r="R132" s="12" t="str">
        <f t="shared" si="38"/>
        <v>Không đạt</v>
      </c>
      <c r="S132" s="10"/>
      <c r="T132" s="95"/>
    </row>
    <row r="133" spans="1:21" s="84" customFormat="1" hidden="1" x14ac:dyDescent="0.25">
      <c r="A133" s="9" t="s">
        <v>158</v>
      </c>
      <c r="B133" s="1"/>
      <c r="C133" s="1" t="s">
        <v>1090</v>
      </c>
      <c r="D133" s="12">
        <f t="shared" si="34"/>
        <v>4.8</v>
      </c>
      <c r="E133" s="83">
        <v>2.4</v>
      </c>
      <c r="F133" s="83">
        <v>2.4</v>
      </c>
      <c r="G133" s="12">
        <v>100</v>
      </c>
      <c r="H133" s="12">
        <v>100</v>
      </c>
      <c r="I133" s="12">
        <f t="shared" si="35"/>
        <v>0</v>
      </c>
      <c r="J133" s="12" t="str">
        <f t="shared" si="36"/>
        <v>Không đạt</v>
      </c>
      <c r="K133" s="10"/>
      <c r="L133" s="96">
        <f t="shared" si="33"/>
        <v>4.8</v>
      </c>
      <c r="M133" s="10">
        <v>2.4</v>
      </c>
      <c r="N133" s="10">
        <v>2.4</v>
      </c>
      <c r="O133" s="12">
        <v>100</v>
      </c>
      <c r="P133" s="97">
        <v>100</v>
      </c>
      <c r="Q133" s="12">
        <f t="shared" si="37"/>
        <v>0</v>
      </c>
      <c r="R133" s="12" t="str">
        <f t="shared" si="38"/>
        <v>Không đạt</v>
      </c>
      <c r="S133" s="10"/>
      <c r="T133" s="95"/>
    </row>
    <row r="134" spans="1:21" s="84" customFormat="1" hidden="1" x14ac:dyDescent="0.25">
      <c r="A134" s="9" t="s">
        <v>159</v>
      </c>
      <c r="B134" s="1"/>
      <c r="C134" s="1" t="s">
        <v>1058</v>
      </c>
      <c r="D134" s="12">
        <f t="shared" si="34"/>
        <v>4.8</v>
      </c>
      <c r="E134" s="83">
        <v>2.4</v>
      </c>
      <c r="F134" s="83">
        <v>2.4</v>
      </c>
      <c r="G134" s="12">
        <v>100</v>
      </c>
      <c r="H134" s="12">
        <v>95</v>
      </c>
      <c r="I134" s="12">
        <f t="shared" si="35"/>
        <v>0</v>
      </c>
      <c r="J134" s="12" t="str">
        <f t="shared" si="36"/>
        <v>Không đạt</v>
      </c>
      <c r="K134" s="10"/>
      <c r="L134" s="96">
        <f t="shared" si="33"/>
        <v>6.5</v>
      </c>
      <c r="M134" s="10">
        <v>4</v>
      </c>
      <c r="N134" s="10">
        <v>2.5</v>
      </c>
      <c r="O134" s="12">
        <v>100</v>
      </c>
      <c r="P134" s="97">
        <v>100</v>
      </c>
      <c r="Q134" s="12">
        <f t="shared" si="37"/>
        <v>0</v>
      </c>
      <c r="R134" s="12" t="str">
        <f t="shared" si="38"/>
        <v>Không đạt</v>
      </c>
      <c r="S134" s="10"/>
      <c r="T134" s="95"/>
    </row>
    <row r="135" spans="1:21" s="84" customFormat="1" hidden="1" x14ac:dyDescent="0.25">
      <c r="A135" s="9" t="s">
        <v>160</v>
      </c>
      <c r="B135" s="1"/>
      <c r="C135" s="1" t="s">
        <v>1053</v>
      </c>
      <c r="D135" s="12">
        <f t="shared" si="34"/>
        <v>6.99</v>
      </c>
      <c r="E135" s="83">
        <v>4.3</v>
      </c>
      <c r="F135" s="83">
        <v>2.69</v>
      </c>
      <c r="G135" s="12">
        <v>100</v>
      </c>
      <c r="H135" s="12">
        <v>95</v>
      </c>
      <c r="I135" s="12">
        <f t="shared" si="35"/>
        <v>0</v>
      </c>
      <c r="J135" s="12" t="str">
        <f t="shared" si="36"/>
        <v>Không đạt</v>
      </c>
      <c r="K135" s="10"/>
      <c r="L135" s="96">
        <f t="shared" si="33"/>
        <v>6.99</v>
      </c>
      <c r="M135" s="10">
        <v>4.3</v>
      </c>
      <c r="N135" s="10">
        <v>2.69</v>
      </c>
      <c r="O135" s="12">
        <v>100</v>
      </c>
      <c r="P135" s="97">
        <v>100</v>
      </c>
      <c r="Q135" s="12">
        <f t="shared" si="37"/>
        <v>0</v>
      </c>
      <c r="R135" s="12" t="str">
        <f t="shared" si="38"/>
        <v>Không đạt</v>
      </c>
      <c r="S135" s="10"/>
      <c r="T135" s="95"/>
    </row>
    <row r="136" spans="1:21" s="84" customFormat="1" hidden="1" x14ac:dyDescent="0.25">
      <c r="A136" s="9" t="s">
        <v>161</v>
      </c>
      <c r="B136" s="1"/>
      <c r="C136" s="1" t="s">
        <v>1054</v>
      </c>
      <c r="D136" s="12">
        <f t="shared" si="34"/>
        <v>5.8</v>
      </c>
      <c r="E136" s="83">
        <v>4.83</v>
      </c>
      <c r="F136" s="83">
        <v>0.97</v>
      </c>
      <c r="G136" s="12">
        <v>100</v>
      </c>
      <c r="H136" s="12">
        <v>95</v>
      </c>
      <c r="I136" s="12">
        <f t="shared" si="35"/>
        <v>0</v>
      </c>
      <c r="J136" s="12" t="str">
        <f t="shared" si="36"/>
        <v>Không đạt</v>
      </c>
      <c r="K136" s="10"/>
      <c r="L136" s="96">
        <f t="shared" si="33"/>
        <v>5.8</v>
      </c>
      <c r="M136" s="10">
        <v>4.83</v>
      </c>
      <c r="N136" s="10">
        <v>0.97</v>
      </c>
      <c r="O136" s="12">
        <v>100</v>
      </c>
      <c r="P136" s="97">
        <v>96.6</v>
      </c>
      <c r="Q136" s="12">
        <f t="shared" si="37"/>
        <v>0</v>
      </c>
      <c r="R136" s="12" t="str">
        <f t="shared" si="38"/>
        <v>Không đạt</v>
      </c>
      <c r="S136" s="10"/>
      <c r="T136" s="95"/>
    </row>
    <row r="137" spans="1:21" s="84" customFormat="1" hidden="1" x14ac:dyDescent="0.25">
      <c r="A137" s="9" t="s">
        <v>162</v>
      </c>
      <c r="B137" s="1"/>
      <c r="C137" s="1" t="s">
        <v>1056</v>
      </c>
      <c r="D137" s="12">
        <f t="shared" si="34"/>
        <v>20</v>
      </c>
      <c r="E137" s="83">
        <v>16.190000000000001</v>
      </c>
      <c r="F137" s="83">
        <v>3.81</v>
      </c>
      <c r="G137" s="12">
        <v>50</v>
      </c>
      <c r="H137" s="12">
        <v>85</v>
      </c>
      <c r="I137" s="12">
        <f t="shared" si="35"/>
        <v>3</v>
      </c>
      <c r="J137" s="12" t="str">
        <f t="shared" si="36"/>
        <v>Đạt</v>
      </c>
      <c r="K137" s="10"/>
      <c r="L137" s="96">
        <f t="shared" si="33"/>
        <v>20</v>
      </c>
      <c r="M137" s="10">
        <v>16.190000000000001</v>
      </c>
      <c r="N137" s="10">
        <v>3.81</v>
      </c>
      <c r="O137" s="12">
        <v>50</v>
      </c>
      <c r="P137" s="97">
        <v>100</v>
      </c>
      <c r="Q137" s="12">
        <f t="shared" si="37"/>
        <v>2</v>
      </c>
      <c r="R137" s="12" t="str">
        <f t="shared" si="38"/>
        <v>Đạt</v>
      </c>
      <c r="S137" s="10"/>
      <c r="T137" s="95"/>
    </row>
    <row r="138" spans="1:21" s="84" customFormat="1" hidden="1" x14ac:dyDescent="0.25">
      <c r="A138" s="9" t="s">
        <v>163</v>
      </c>
      <c r="B138" s="1"/>
      <c r="C138" s="1" t="s">
        <v>1055</v>
      </c>
      <c r="D138" s="12">
        <f>E138+F138</f>
        <v>20.78</v>
      </c>
      <c r="E138" s="83">
        <v>12.99</v>
      </c>
      <c r="F138" s="83">
        <v>7.79</v>
      </c>
      <c r="G138" s="12">
        <v>50</v>
      </c>
      <c r="H138" s="12">
        <v>85</v>
      </c>
      <c r="I138" s="12">
        <f>SUM((IF(D138&gt;=16.24,1,0))+(IF(G138&lt;60,1,0))+(IF(H138&lt;90,1,0)))</f>
        <v>3</v>
      </c>
      <c r="J138" s="12" t="str">
        <f>IF(I138&gt;=2,"Đạt","Không đạt")</f>
        <v>Đạt</v>
      </c>
      <c r="K138" s="10"/>
      <c r="L138" s="96">
        <f t="shared" si="33"/>
        <v>20.78</v>
      </c>
      <c r="M138" s="10">
        <v>12.99</v>
      </c>
      <c r="N138" s="10">
        <v>7.79</v>
      </c>
      <c r="O138" s="12">
        <v>50</v>
      </c>
      <c r="P138" s="97">
        <v>100</v>
      </c>
      <c r="Q138" s="12">
        <f t="shared" si="37"/>
        <v>2</v>
      </c>
      <c r="R138" s="12" t="str">
        <f t="shared" si="38"/>
        <v>Đạt</v>
      </c>
      <c r="S138" s="10"/>
      <c r="T138" s="95"/>
    </row>
    <row r="139" spans="1:21" s="100" customFormat="1" x14ac:dyDescent="0.25">
      <c r="A139" s="19" t="s">
        <v>939</v>
      </c>
      <c r="B139" s="20" t="s">
        <v>72</v>
      </c>
      <c r="C139" s="20"/>
      <c r="D139" s="22"/>
      <c r="E139" s="104"/>
      <c r="F139" s="104"/>
      <c r="G139" s="22"/>
      <c r="H139" s="22"/>
      <c r="I139" s="22"/>
      <c r="J139" s="22"/>
      <c r="K139" s="90">
        <f>COUNTIF(J140:J155,"Đạt")</f>
        <v>9</v>
      </c>
      <c r="L139" s="98">
        <f t="shared" si="33"/>
        <v>0</v>
      </c>
      <c r="M139" s="90"/>
      <c r="N139" s="90"/>
      <c r="O139" s="22"/>
      <c r="P139" s="99"/>
      <c r="Q139" s="89"/>
      <c r="R139" s="89"/>
      <c r="S139" s="90" t="s">
        <v>1202</v>
      </c>
      <c r="U139" s="84"/>
    </row>
    <row r="140" spans="1:21" s="95" customFormat="1" hidden="1" x14ac:dyDescent="0.25">
      <c r="A140" s="9" t="s">
        <v>148</v>
      </c>
      <c r="B140" s="13"/>
      <c r="C140" s="1" t="s">
        <v>1031</v>
      </c>
      <c r="D140" s="12">
        <f>E140+F140</f>
        <v>7.15</v>
      </c>
      <c r="E140" s="83">
        <v>4.4000000000000004</v>
      </c>
      <c r="F140" s="83">
        <v>2.75</v>
      </c>
      <c r="G140" s="12">
        <v>56</v>
      </c>
      <c r="H140" s="12">
        <v>85.3</v>
      </c>
      <c r="I140" s="12">
        <f>SUM((IF(D140&gt;=16.24,1,0))+(IF(G140&lt;60,1,0))+(IF(H140&lt;90,1,0)))</f>
        <v>2</v>
      </c>
      <c r="J140" s="12" t="str">
        <f>IF(I140&gt;=2,"Đạt","Không đạt")</f>
        <v>Đạt</v>
      </c>
      <c r="K140" s="10"/>
      <c r="L140" s="96">
        <f t="shared" si="33"/>
        <v>7.15</v>
      </c>
      <c r="M140" s="10">
        <v>4.4000000000000004</v>
      </c>
      <c r="N140" s="10">
        <v>2.75</v>
      </c>
      <c r="O140" s="12">
        <v>56</v>
      </c>
      <c r="P140" s="97">
        <v>85</v>
      </c>
      <c r="Q140" s="12">
        <f t="shared" si="37"/>
        <v>2</v>
      </c>
      <c r="R140" s="12" t="str">
        <f t="shared" si="38"/>
        <v>Đạt</v>
      </c>
      <c r="S140" s="10"/>
      <c r="U140" s="84"/>
    </row>
    <row r="141" spans="1:21" s="95" customFormat="1" hidden="1" x14ac:dyDescent="0.25">
      <c r="A141" s="9" t="s">
        <v>149</v>
      </c>
      <c r="B141" s="13"/>
      <c r="C141" s="1" t="s">
        <v>1032</v>
      </c>
      <c r="D141" s="12">
        <f t="shared" ref="D141:D155" si="39">E141+F141</f>
        <v>14.290000000000001</v>
      </c>
      <c r="E141" s="83">
        <v>4.9000000000000004</v>
      </c>
      <c r="F141" s="83">
        <v>9.39</v>
      </c>
      <c r="G141" s="12">
        <v>57</v>
      </c>
      <c r="H141" s="12">
        <v>79.8</v>
      </c>
      <c r="I141" s="12">
        <f t="shared" ref="I141:I155" si="40">SUM((IF(D141&gt;=16.24,1,0))+(IF(G141&lt;60,1,0))+(IF(H141&lt;90,1,0)))</f>
        <v>2</v>
      </c>
      <c r="J141" s="12" t="str">
        <f t="shared" ref="J141:J155" si="41">IF(I141&gt;=2,"Đạt","Không đạt")</f>
        <v>Đạt</v>
      </c>
      <c r="K141" s="10"/>
      <c r="L141" s="96">
        <f t="shared" si="33"/>
        <v>14.290000000000001</v>
      </c>
      <c r="M141" s="10">
        <v>4.9000000000000004</v>
      </c>
      <c r="N141" s="10">
        <v>9.39</v>
      </c>
      <c r="O141" s="12">
        <v>57</v>
      </c>
      <c r="P141" s="97">
        <v>56</v>
      </c>
      <c r="Q141" s="12">
        <f t="shared" si="37"/>
        <v>2</v>
      </c>
      <c r="R141" s="12" t="str">
        <f t="shared" si="38"/>
        <v>Đạt</v>
      </c>
      <c r="S141" s="10"/>
      <c r="U141" s="84"/>
    </row>
    <row r="142" spans="1:21" s="95" customFormat="1" hidden="1" x14ac:dyDescent="0.25">
      <c r="A142" s="9" t="s">
        <v>150</v>
      </c>
      <c r="B142" s="13"/>
      <c r="C142" s="1" t="s">
        <v>1033</v>
      </c>
      <c r="D142" s="12">
        <f t="shared" si="39"/>
        <v>4.8</v>
      </c>
      <c r="E142" s="83">
        <v>2.4</v>
      </c>
      <c r="F142" s="83">
        <v>2.4</v>
      </c>
      <c r="G142" s="12">
        <v>85</v>
      </c>
      <c r="H142" s="12">
        <v>86.5</v>
      </c>
      <c r="I142" s="12">
        <f t="shared" si="40"/>
        <v>1</v>
      </c>
      <c r="J142" s="12" t="str">
        <f t="shared" si="41"/>
        <v>Không đạt</v>
      </c>
      <c r="K142" s="10"/>
      <c r="L142" s="96">
        <f t="shared" si="33"/>
        <v>4.8</v>
      </c>
      <c r="M142" s="10">
        <v>2.4</v>
      </c>
      <c r="N142" s="10">
        <v>2.4</v>
      </c>
      <c r="O142" s="12">
        <v>85</v>
      </c>
      <c r="P142" s="97">
        <v>83.7</v>
      </c>
      <c r="Q142" s="12">
        <f t="shared" si="37"/>
        <v>1</v>
      </c>
      <c r="R142" s="12" t="str">
        <f t="shared" si="38"/>
        <v>Không đạt</v>
      </c>
      <c r="S142" s="10"/>
      <c r="U142" s="84"/>
    </row>
    <row r="143" spans="1:21" s="95" customFormat="1" hidden="1" x14ac:dyDescent="0.25">
      <c r="A143" s="9" t="s">
        <v>151</v>
      </c>
      <c r="B143" s="13"/>
      <c r="C143" s="1" t="s">
        <v>1034</v>
      </c>
      <c r="D143" s="12">
        <f t="shared" si="39"/>
        <v>5.34</v>
      </c>
      <c r="E143" s="83">
        <v>2.4300000000000002</v>
      </c>
      <c r="F143" s="83">
        <v>2.91</v>
      </c>
      <c r="G143" s="12">
        <v>85</v>
      </c>
      <c r="H143" s="12">
        <v>79.8</v>
      </c>
      <c r="I143" s="12">
        <f t="shared" si="40"/>
        <v>1</v>
      </c>
      <c r="J143" s="12" t="str">
        <f t="shared" si="41"/>
        <v>Không đạt</v>
      </c>
      <c r="K143" s="10"/>
      <c r="L143" s="96">
        <f t="shared" si="33"/>
        <v>5.34</v>
      </c>
      <c r="M143" s="10">
        <v>2.4300000000000002</v>
      </c>
      <c r="N143" s="10">
        <v>2.91</v>
      </c>
      <c r="O143" s="12">
        <v>85</v>
      </c>
      <c r="P143" s="97">
        <v>80</v>
      </c>
      <c r="Q143" s="12">
        <f t="shared" si="37"/>
        <v>1</v>
      </c>
      <c r="R143" s="12" t="str">
        <f t="shared" si="38"/>
        <v>Không đạt</v>
      </c>
      <c r="S143" s="10"/>
      <c r="U143" s="84"/>
    </row>
    <row r="144" spans="1:21" s="95" customFormat="1" hidden="1" x14ac:dyDescent="0.25">
      <c r="A144" s="9" t="s">
        <v>152</v>
      </c>
      <c r="B144" s="13"/>
      <c r="C144" s="1" t="s">
        <v>1035</v>
      </c>
      <c r="D144" s="12">
        <f t="shared" si="39"/>
        <v>9.2800000000000011</v>
      </c>
      <c r="E144" s="83">
        <v>3.09</v>
      </c>
      <c r="F144" s="83">
        <v>6.19</v>
      </c>
      <c r="G144" s="12">
        <v>80</v>
      </c>
      <c r="H144" s="12">
        <v>80</v>
      </c>
      <c r="I144" s="12">
        <f t="shared" si="40"/>
        <v>1</v>
      </c>
      <c r="J144" s="12" t="str">
        <f t="shared" si="41"/>
        <v>Không đạt</v>
      </c>
      <c r="K144" s="10"/>
      <c r="L144" s="96">
        <f t="shared" si="33"/>
        <v>9.2800000000000011</v>
      </c>
      <c r="M144" s="10">
        <v>3.09</v>
      </c>
      <c r="N144" s="10">
        <v>6.19</v>
      </c>
      <c r="O144" s="12">
        <v>80</v>
      </c>
      <c r="P144" s="97">
        <v>54.9</v>
      </c>
      <c r="Q144" s="12">
        <f t="shared" si="37"/>
        <v>1</v>
      </c>
      <c r="R144" s="12" t="str">
        <f t="shared" si="38"/>
        <v>Không đạt</v>
      </c>
      <c r="S144" s="10"/>
      <c r="U144" s="84"/>
    </row>
    <row r="145" spans="1:21" s="95" customFormat="1" hidden="1" x14ac:dyDescent="0.25">
      <c r="A145" s="9" t="s">
        <v>153</v>
      </c>
      <c r="B145" s="13"/>
      <c r="C145" s="1" t="s">
        <v>1036</v>
      </c>
      <c r="D145" s="12">
        <f t="shared" si="39"/>
        <v>12.18</v>
      </c>
      <c r="E145" s="83">
        <v>5.13</v>
      </c>
      <c r="F145" s="83">
        <v>7.05</v>
      </c>
      <c r="G145" s="12">
        <v>55</v>
      </c>
      <c r="H145" s="12">
        <v>49.7</v>
      </c>
      <c r="I145" s="12">
        <f t="shared" si="40"/>
        <v>2</v>
      </c>
      <c r="J145" s="12" t="str">
        <f t="shared" si="41"/>
        <v>Đạt</v>
      </c>
      <c r="K145" s="10"/>
      <c r="L145" s="96">
        <f t="shared" si="33"/>
        <v>12.18</v>
      </c>
      <c r="M145" s="10">
        <v>5.13</v>
      </c>
      <c r="N145" s="10">
        <v>7.05</v>
      </c>
      <c r="O145" s="12">
        <v>55</v>
      </c>
      <c r="P145" s="97">
        <v>50</v>
      </c>
      <c r="Q145" s="12">
        <f t="shared" si="37"/>
        <v>2</v>
      </c>
      <c r="R145" s="12" t="str">
        <f t="shared" si="38"/>
        <v>Đạt</v>
      </c>
      <c r="S145" s="10"/>
      <c r="U145" s="84"/>
    </row>
    <row r="146" spans="1:21" s="95" customFormat="1" ht="30" x14ac:dyDescent="0.25">
      <c r="A146" s="9" t="s">
        <v>154</v>
      </c>
      <c r="B146" s="13"/>
      <c r="C146" s="1" t="s">
        <v>1037</v>
      </c>
      <c r="D146" s="12">
        <f t="shared" si="39"/>
        <v>15.540000000000001</v>
      </c>
      <c r="E146" s="83">
        <v>4.7300000000000004</v>
      </c>
      <c r="F146" s="83">
        <v>10.81</v>
      </c>
      <c r="G146" s="12">
        <v>57</v>
      </c>
      <c r="H146" s="12">
        <v>87.9</v>
      </c>
      <c r="I146" s="12">
        <f t="shared" si="40"/>
        <v>2</v>
      </c>
      <c r="J146" s="12" t="str">
        <f t="shared" si="41"/>
        <v>Đạt</v>
      </c>
      <c r="K146" s="10"/>
      <c r="L146" s="96">
        <f t="shared" si="33"/>
        <v>15.540000000000001</v>
      </c>
      <c r="M146" s="10">
        <v>4.7300000000000004</v>
      </c>
      <c r="N146" s="10">
        <v>10.81</v>
      </c>
      <c r="O146" s="12">
        <v>57</v>
      </c>
      <c r="P146" s="97">
        <v>100</v>
      </c>
      <c r="Q146" s="12">
        <f t="shared" si="37"/>
        <v>1</v>
      </c>
      <c r="R146" s="12" t="str">
        <f t="shared" si="38"/>
        <v>Không đạt</v>
      </c>
      <c r="S146" s="10" t="s">
        <v>1185</v>
      </c>
      <c r="U146" s="84"/>
    </row>
    <row r="147" spans="1:21" s="95" customFormat="1" ht="30" x14ac:dyDescent="0.25">
      <c r="A147" s="9" t="s">
        <v>155</v>
      </c>
      <c r="B147" s="13"/>
      <c r="C147" s="1" t="s">
        <v>1039</v>
      </c>
      <c r="D147" s="12">
        <f t="shared" si="39"/>
        <v>15.55</v>
      </c>
      <c r="E147" s="83">
        <v>11.85</v>
      </c>
      <c r="F147" s="83">
        <v>3.7</v>
      </c>
      <c r="G147" s="12">
        <v>56</v>
      </c>
      <c r="H147" s="12">
        <v>86.5</v>
      </c>
      <c r="I147" s="12">
        <f t="shared" si="40"/>
        <v>2</v>
      </c>
      <c r="J147" s="12" t="str">
        <f t="shared" si="41"/>
        <v>Đạt</v>
      </c>
      <c r="K147" s="10"/>
      <c r="L147" s="96">
        <f t="shared" si="33"/>
        <v>15.55</v>
      </c>
      <c r="M147" s="10">
        <v>11.85</v>
      </c>
      <c r="N147" s="10">
        <v>3.7</v>
      </c>
      <c r="O147" s="12">
        <v>56</v>
      </c>
      <c r="P147" s="97">
        <v>100</v>
      </c>
      <c r="Q147" s="12">
        <f t="shared" si="37"/>
        <v>1</v>
      </c>
      <c r="R147" s="12" t="str">
        <f t="shared" si="38"/>
        <v>Không đạt</v>
      </c>
      <c r="S147" s="10" t="s">
        <v>1185</v>
      </c>
      <c r="U147" s="84"/>
    </row>
    <row r="148" spans="1:21" s="95" customFormat="1" hidden="1" x14ac:dyDescent="0.25">
      <c r="A148" s="9" t="s">
        <v>156</v>
      </c>
      <c r="B148" s="13"/>
      <c r="C148" s="1" t="s">
        <v>1038</v>
      </c>
      <c r="D148" s="12">
        <f t="shared" si="39"/>
        <v>7.4300000000000006</v>
      </c>
      <c r="E148" s="83">
        <v>6.99</v>
      </c>
      <c r="F148" s="83">
        <v>0.44</v>
      </c>
      <c r="G148" s="12">
        <v>85</v>
      </c>
      <c r="H148" s="12">
        <v>94.5</v>
      </c>
      <c r="I148" s="12">
        <f t="shared" si="40"/>
        <v>0</v>
      </c>
      <c r="J148" s="12" t="str">
        <f t="shared" si="41"/>
        <v>Không đạt</v>
      </c>
      <c r="K148" s="10"/>
      <c r="L148" s="96">
        <f t="shared" si="33"/>
        <v>7.4300000000000006</v>
      </c>
      <c r="M148" s="10">
        <v>6.99</v>
      </c>
      <c r="N148" s="10">
        <v>0.44</v>
      </c>
      <c r="O148" s="12">
        <v>85</v>
      </c>
      <c r="P148" s="97">
        <v>84.3</v>
      </c>
      <c r="Q148" s="12">
        <f t="shared" si="37"/>
        <v>1</v>
      </c>
      <c r="R148" s="12" t="str">
        <f t="shared" si="38"/>
        <v>Không đạt</v>
      </c>
      <c r="S148" s="10"/>
      <c r="U148" s="84"/>
    </row>
    <row r="149" spans="1:21" s="95" customFormat="1" hidden="1" x14ac:dyDescent="0.25">
      <c r="A149" s="9" t="s">
        <v>157</v>
      </c>
      <c r="B149" s="13"/>
      <c r="C149" s="1" t="s">
        <v>1040</v>
      </c>
      <c r="D149" s="12">
        <f t="shared" si="39"/>
        <v>6.59</v>
      </c>
      <c r="E149" s="83">
        <v>4.1900000000000004</v>
      </c>
      <c r="F149" s="83">
        <v>2.4</v>
      </c>
      <c r="G149" s="12">
        <v>58</v>
      </c>
      <c r="H149" s="12">
        <v>95</v>
      </c>
      <c r="I149" s="12">
        <f t="shared" si="40"/>
        <v>1</v>
      </c>
      <c r="J149" s="12" t="str">
        <f t="shared" si="41"/>
        <v>Không đạt</v>
      </c>
      <c r="K149" s="10"/>
      <c r="L149" s="96">
        <f t="shared" si="33"/>
        <v>6.59</v>
      </c>
      <c r="M149" s="10">
        <v>4.1900000000000004</v>
      </c>
      <c r="N149" s="10">
        <v>2.4</v>
      </c>
      <c r="O149" s="12">
        <v>58</v>
      </c>
      <c r="P149" s="97">
        <v>100</v>
      </c>
      <c r="Q149" s="12">
        <f t="shared" si="37"/>
        <v>1</v>
      </c>
      <c r="R149" s="12" t="str">
        <f t="shared" si="38"/>
        <v>Không đạt</v>
      </c>
      <c r="S149" s="10"/>
      <c r="U149" s="84"/>
    </row>
    <row r="150" spans="1:21" s="95" customFormat="1" hidden="1" x14ac:dyDescent="0.25">
      <c r="A150" s="9" t="s">
        <v>158</v>
      </c>
      <c r="B150" s="13"/>
      <c r="C150" s="1" t="s">
        <v>1041</v>
      </c>
      <c r="D150" s="12">
        <f t="shared" si="39"/>
        <v>6.84</v>
      </c>
      <c r="E150" s="83">
        <v>3.73</v>
      </c>
      <c r="F150" s="83">
        <v>3.11</v>
      </c>
      <c r="G150" s="12">
        <v>90</v>
      </c>
      <c r="H150" s="12">
        <v>98.1</v>
      </c>
      <c r="I150" s="12">
        <f t="shared" si="40"/>
        <v>0</v>
      </c>
      <c r="J150" s="12" t="str">
        <f t="shared" si="41"/>
        <v>Không đạt</v>
      </c>
      <c r="K150" s="10"/>
      <c r="L150" s="96">
        <f t="shared" si="33"/>
        <v>6.84</v>
      </c>
      <c r="M150" s="10">
        <v>3.73</v>
      </c>
      <c r="N150" s="10">
        <v>3.11</v>
      </c>
      <c r="O150" s="12">
        <v>90</v>
      </c>
      <c r="P150" s="97">
        <v>94.4</v>
      </c>
      <c r="Q150" s="12">
        <f t="shared" si="37"/>
        <v>0</v>
      </c>
      <c r="R150" s="12" t="str">
        <f t="shared" si="38"/>
        <v>Không đạt</v>
      </c>
      <c r="S150" s="10"/>
      <c r="U150" s="84"/>
    </row>
    <row r="151" spans="1:21" s="95" customFormat="1" hidden="1" x14ac:dyDescent="0.25">
      <c r="A151" s="9" t="s">
        <v>159</v>
      </c>
      <c r="B151" s="13"/>
      <c r="C151" s="1" t="s">
        <v>420</v>
      </c>
      <c r="D151" s="12">
        <f t="shared" si="39"/>
        <v>5.52</v>
      </c>
      <c r="E151" s="83">
        <v>5.52</v>
      </c>
      <c r="F151" s="83">
        <v>0</v>
      </c>
      <c r="G151" s="12">
        <v>90</v>
      </c>
      <c r="H151" s="12">
        <v>97.8</v>
      </c>
      <c r="I151" s="12">
        <f t="shared" si="40"/>
        <v>0</v>
      </c>
      <c r="J151" s="12" t="str">
        <f t="shared" si="41"/>
        <v>Không đạt</v>
      </c>
      <c r="K151" s="10"/>
      <c r="L151" s="96">
        <f t="shared" si="33"/>
        <v>5.52</v>
      </c>
      <c r="M151" s="10">
        <v>5.52</v>
      </c>
      <c r="N151" s="10">
        <v>0</v>
      </c>
      <c r="O151" s="12">
        <v>90</v>
      </c>
      <c r="P151" s="97">
        <v>91</v>
      </c>
      <c r="Q151" s="12">
        <f t="shared" si="37"/>
        <v>0</v>
      </c>
      <c r="R151" s="12" t="str">
        <f t="shared" si="38"/>
        <v>Không đạt</v>
      </c>
      <c r="S151" s="10"/>
      <c r="U151" s="84"/>
    </row>
    <row r="152" spans="1:21" s="95" customFormat="1" hidden="1" x14ac:dyDescent="0.25">
      <c r="A152" s="9" t="s">
        <v>160</v>
      </c>
      <c r="B152" s="13"/>
      <c r="C152" s="1" t="s">
        <v>1042</v>
      </c>
      <c r="D152" s="12">
        <f t="shared" si="39"/>
        <v>10.510000000000002</v>
      </c>
      <c r="E152" s="83">
        <v>6.23</v>
      </c>
      <c r="F152" s="83">
        <v>4.28</v>
      </c>
      <c r="G152" s="12">
        <v>58</v>
      </c>
      <c r="H152" s="12">
        <v>87.9</v>
      </c>
      <c r="I152" s="12">
        <f t="shared" si="40"/>
        <v>2</v>
      </c>
      <c r="J152" s="12" t="str">
        <f t="shared" si="41"/>
        <v>Đạt</v>
      </c>
      <c r="K152" s="10"/>
      <c r="L152" s="96">
        <f t="shared" si="33"/>
        <v>10.510000000000002</v>
      </c>
      <c r="M152" s="10">
        <v>6.23</v>
      </c>
      <c r="N152" s="10">
        <v>4.28</v>
      </c>
      <c r="O152" s="12">
        <v>58</v>
      </c>
      <c r="P152" s="97">
        <v>86.7</v>
      </c>
      <c r="Q152" s="12">
        <f t="shared" si="37"/>
        <v>2</v>
      </c>
      <c r="R152" s="12" t="str">
        <f t="shared" si="38"/>
        <v>Đạt</v>
      </c>
      <c r="S152" s="10"/>
      <c r="U152" s="84"/>
    </row>
    <row r="153" spans="1:21" s="95" customFormat="1" ht="30" x14ac:dyDescent="0.25">
      <c r="A153" s="9" t="s">
        <v>161</v>
      </c>
      <c r="B153" s="13"/>
      <c r="C153" s="1" t="s">
        <v>1043</v>
      </c>
      <c r="D153" s="12">
        <f t="shared" si="39"/>
        <v>10.23</v>
      </c>
      <c r="E153" s="83">
        <v>6.82</v>
      </c>
      <c r="F153" s="83">
        <v>3.41</v>
      </c>
      <c r="G153" s="12">
        <v>57</v>
      </c>
      <c r="H153" s="12">
        <v>87.2</v>
      </c>
      <c r="I153" s="12">
        <f t="shared" si="40"/>
        <v>2</v>
      </c>
      <c r="J153" s="12" t="str">
        <f t="shared" si="41"/>
        <v>Đạt</v>
      </c>
      <c r="K153" s="10"/>
      <c r="L153" s="96">
        <f t="shared" si="33"/>
        <v>10.23</v>
      </c>
      <c r="M153" s="10">
        <v>6.82</v>
      </c>
      <c r="N153" s="10">
        <v>3.41</v>
      </c>
      <c r="O153" s="12">
        <v>57</v>
      </c>
      <c r="P153" s="97">
        <v>97.9</v>
      </c>
      <c r="Q153" s="12">
        <f t="shared" si="37"/>
        <v>1</v>
      </c>
      <c r="R153" s="12" t="str">
        <f t="shared" si="38"/>
        <v>Không đạt</v>
      </c>
      <c r="S153" s="10" t="s">
        <v>1185</v>
      </c>
      <c r="U153" s="84"/>
    </row>
    <row r="154" spans="1:21" s="95" customFormat="1" hidden="1" x14ac:dyDescent="0.25">
      <c r="A154" s="9" t="s">
        <v>162</v>
      </c>
      <c r="B154" s="13"/>
      <c r="C154" s="1" t="s">
        <v>1044</v>
      </c>
      <c r="D154" s="12">
        <f t="shared" si="39"/>
        <v>17.260000000000002</v>
      </c>
      <c r="E154" s="83">
        <v>11.9</v>
      </c>
      <c r="F154" s="83">
        <v>5.36</v>
      </c>
      <c r="G154" s="12">
        <v>55</v>
      </c>
      <c r="H154" s="12">
        <v>90.7</v>
      </c>
      <c r="I154" s="12">
        <f t="shared" si="40"/>
        <v>2</v>
      </c>
      <c r="J154" s="12" t="str">
        <f t="shared" si="41"/>
        <v>Đạt</v>
      </c>
      <c r="K154" s="10"/>
      <c r="L154" s="96">
        <f t="shared" si="33"/>
        <v>17.260000000000002</v>
      </c>
      <c r="M154" s="10">
        <v>11.9</v>
      </c>
      <c r="N154" s="10">
        <v>5.36</v>
      </c>
      <c r="O154" s="12">
        <v>55</v>
      </c>
      <c r="P154" s="97">
        <v>90</v>
      </c>
      <c r="Q154" s="12">
        <f t="shared" si="37"/>
        <v>2</v>
      </c>
      <c r="R154" s="12" t="str">
        <f t="shared" si="38"/>
        <v>Đạt</v>
      </c>
      <c r="S154" s="10"/>
      <c r="U154" s="84"/>
    </row>
    <row r="155" spans="1:21" s="95" customFormat="1" ht="30" x14ac:dyDescent="0.25">
      <c r="A155" s="9" t="s">
        <v>163</v>
      </c>
      <c r="B155" s="13"/>
      <c r="C155" s="1" t="s">
        <v>1045</v>
      </c>
      <c r="D155" s="12">
        <f t="shared" si="39"/>
        <v>13.33</v>
      </c>
      <c r="E155" s="83">
        <v>7.88</v>
      </c>
      <c r="F155" s="83">
        <v>5.45</v>
      </c>
      <c r="G155" s="12">
        <v>57</v>
      </c>
      <c r="H155" s="12">
        <v>89</v>
      </c>
      <c r="I155" s="12">
        <f t="shared" si="40"/>
        <v>2</v>
      </c>
      <c r="J155" s="12" t="str">
        <f t="shared" si="41"/>
        <v>Đạt</v>
      </c>
      <c r="K155" s="10"/>
      <c r="L155" s="96">
        <f t="shared" si="33"/>
        <v>13.33</v>
      </c>
      <c r="M155" s="10">
        <v>7.88</v>
      </c>
      <c r="N155" s="10">
        <v>5.45</v>
      </c>
      <c r="O155" s="12">
        <v>57</v>
      </c>
      <c r="P155" s="97">
        <v>100</v>
      </c>
      <c r="Q155" s="12">
        <f t="shared" si="37"/>
        <v>1</v>
      </c>
      <c r="R155" s="12" t="str">
        <f t="shared" si="38"/>
        <v>Không đạt</v>
      </c>
      <c r="S155" s="10" t="s">
        <v>1185</v>
      </c>
      <c r="U155" s="84"/>
    </row>
    <row r="156" spans="1:21" s="109" customFormat="1" ht="14.25" customHeight="1" x14ac:dyDescent="0.25">
      <c r="A156" s="63" t="s">
        <v>985</v>
      </c>
      <c r="B156" s="64" t="s">
        <v>77</v>
      </c>
      <c r="C156" s="64"/>
      <c r="D156" s="66"/>
      <c r="E156" s="106"/>
      <c r="F156" s="106"/>
      <c r="G156" s="66"/>
      <c r="H156" s="66"/>
      <c r="I156" s="69"/>
      <c r="J156" s="69"/>
      <c r="K156" s="68">
        <f>COUNTIF(J157:J164,"Đạt")</f>
        <v>7</v>
      </c>
      <c r="L156" s="107">
        <f t="shared" ref="L156:L164" si="42">M156+N156</f>
        <v>0</v>
      </c>
      <c r="M156" s="65"/>
      <c r="N156" s="65"/>
      <c r="O156" s="66"/>
      <c r="P156" s="108"/>
      <c r="Q156" s="69"/>
      <c r="R156" s="69"/>
      <c r="S156" s="68" t="s">
        <v>1198</v>
      </c>
      <c r="U156" s="84"/>
    </row>
    <row r="157" spans="1:21" s="84" customFormat="1" ht="14.25" hidden="1" customHeight="1" x14ac:dyDescent="0.25">
      <c r="A157" s="9" t="s">
        <v>148</v>
      </c>
      <c r="B157" s="1"/>
      <c r="C157" s="1" t="s">
        <v>986</v>
      </c>
      <c r="D157" s="12">
        <f>E157+F157</f>
        <v>2.38</v>
      </c>
      <c r="E157" s="83">
        <v>1.7</v>
      </c>
      <c r="F157" s="83">
        <v>0.68</v>
      </c>
      <c r="G157" s="12">
        <v>53.4</v>
      </c>
      <c r="H157" s="12">
        <v>87.1</v>
      </c>
      <c r="I157" s="12">
        <f t="shared" ref="I157:I164" si="43">SUM((IF(D157&gt;=16.24,1,0))+(IF(G157&lt;60,1,0))+(IF(H157&lt;90,1,0)))</f>
        <v>2</v>
      </c>
      <c r="J157" s="12" t="str">
        <f t="shared" ref="J157:J164" si="44">IF(I157&gt;=2,"Đạt","Không đạt")</f>
        <v>Đạt</v>
      </c>
      <c r="K157" s="10"/>
      <c r="L157" s="96">
        <f t="shared" si="42"/>
        <v>4.75</v>
      </c>
      <c r="M157" s="10">
        <v>4.07</v>
      </c>
      <c r="N157" s="10">
        <v>0.68</v>
      </c>
      <c r="O157" s="12">
        <v>53.4</v>
      </c>
      <c r="P157" s="97">
        <v>88.888888888888886</v>
      </c>
      <c r="Q157" s="12">
        <f t="shared" ref="Q157:Q164" si="45">SUM((IF(L157&gt;=16.24,1,0))+(IF(O157&lt;60,1,0))+(IF(P157&lt;90,1,0)))</f>
        <v>2</v>
      </c>
      <c r="R157" s="12" t="str">
        <f t="shared" ref="R157:R164" si="46">IF(Q157&gt;=2,"Đạt","Không đạt")</f>
        <v>Đạt</v>
      </c>
      <c r="S157" s="10"/>
      <c r="T157" s="95"/>
    </row>
    <row r="158" spans="1:21" s="84" customFormat="1" ht="14.25" hidden="1" customHeight="1" x14ac:dyDescent="0.25">
      <c r="A158" s="9" t="s">
        <v>149</v>
      </c>
      <c r="B158" s="1"/>
      <c r="C158" s="1" t="s">
        <v>987</v>
      </c>
      <c r="D158" s="12">
        <f t="shared" ref="D158:D164" si="47">E158+F158</f>
        <v>2.78</v>
      </c>
      <c r="E158" s="83">
        <v>1.39</v>
      </c>
      <c r="F158" s="83">
        <v>1.39</v>
      </c>
      <c r="G158" s="12">
        <v>54.3</v>
      </c>
      <c r="H158" s="12">
        <v>79.62</v>
      </c>
      <c r="I158" s="12">
        <f t="shared" si="43"/>
        <v>2</v>
      </c>
      <c r="J158" s="12" t="str">
        <f t="shared" si="44"/>
        <v>Đạt</v>
      </c>
      <c r="K158" s="10"/>
      <c r="L158" s="96">
        <f t="shared" si="42"/>
        <v>5</v>
      </c>
      <c r="M158" s="10">
        <v>3.64</v>
      </c>
      <c r="N158" s="10">
        <v>1.36</v>
      </c>
      <c r="O158" s="12">
        <v>54.3</v>
      </c>
      <c r="P158" s="97">
        <v>80</v>
      </c>
      <c r="Q158" s="12">
        <f t="shared" si="45"/>
        <v>2</v>
      </c>
      <c r="R158" s="12" t="str">
        <f t="shared" si="46"/>
        <v>Đạt</v>
      </c>
      <c r="S158" s="10"/>
      <c r="T158" s="95"/>
    </row>
    <row r="159" spans="1:21" s="84" customFormat="1" ht="14.25" hidden="1" customHeight="1" x14ac:dyDescent="0.25">
      <c r="A159" s="9" t="s">
        <v>150</v>
      </c>
      <c r="B159" s="1"/>
      <c r="C159" s="1" t="s">
        <v>988</v>
      </c>
      <c r="D159" s="12">
        <f t="shared" si="47"/>
        <v>2.33</v>
      </c>
      <c r="E159" s="83">
        <v>2.33</v>
      </c>
      <c r="F159" s="83">
        <v>0</v>
      </c>
      <c r="G159" s="12">
        <v>56.94</v>
      </c>
      <c r="H159" s="12">
        <v>76.739999999999995</v>
      </c>
      <c r="I159" s="12">
        <f t="shared" si="43"/>
        <v>2</v>
      </c>
      <c r="J159" s="12" t="str">
        <f t="shared" si="44"/>
        <v>Đạt</v>
      </c>
      <c r="K159" s="10"/>
      <c r="L159" s="96">
        <f t="shared" si="42"/>
        <v>6.51</v>
      </c>
      <c r="M159" s="10">
        <v>5.58</v>
      </c>
      <c r="N159" s="10">
        <v>0.93</v>
      </c>
      <c r="O159" s="12">
        <v>56.94</v>
      </c>
      <c r="P159" s="97">
        <v>82.456140350877206</v>
      </c>
      <c r="Q159" s="12">
        <f t="shared" si="45"/>
        <v>2</v>
      </c>
      <c r="R159" s="12" t="str">
        <f t="shared" si="46"/>
        <v>Đạt</v>
      </c>
      <c r="S159" s="10"/>
      <c r="T159" s="95"/>
    </row>
    <row r="160" spans="1:21" s="84" customFormat="1" ht="14.25" hidden="1" customHeight="1" x14ac:dyDescent="0.25">
      <c r="A160" s="9" t="s">
        <v>151</v>
      </c>
      <c r="B160" s="1"/>
      <c r="C160" s="1" t="s">
        <v>989</v>
      </c>
      <c r="D160" s="12">
        <f t="shared" si="47"/>
        <v>4.5199999999999996</v>
      </c>
      <c r="E160" s="83">
        <v>2.58</v>
      </c>
      <c r="F160" s="83">
        <v>1.94</v>
      </c>
      <c r="G160" s="12">
        <v>59.15</v>
      </c>
      <c r="H160" s="12">
        <v>88.7</v>
      </c>
      <c r="I160" s="12">
        <f t="shared" si="43"/>
        <v>2</v>
      </c>
      <c r="J160" s="12" t="str">
        <f t="shared" si="44"/>
        <v>Đạt</v>
      </c>
      <c r="K160" s="10"/>
      <c r="L160" s="96">
        <f t="shared" si="42"/>
        <v>8.2799999999999994</v>
      </c>
      <c r="M160" s="10">
        <v>6.37</v>
      </c>
      <c r="N160" s="10">
        <v>1.91</v>
      </c>
      <c r="O160" s="12">
        <v>59.15</v>
      </c>
      <c r="P160" s="97">
        <v>88.571428571428569</v>
      </c>
      <c r="Q160" s="12">
        <f t="shared" si="45"/>
        <v>2</v>
      </c>
      <c r="R160" s="12" t="str">
        <f t="shared" si="46"/>
        <v>Đạt</v>
      </c>
      <c r="S160" s="10"/>
      <c r="T160" s="95"/>
    </row>
    <row r="161" spans="1:21" s="84" customFormat="1" ht="14.25" hidden="1" customHeight="1" x14ac:dyDescent="0.25">
      <c r="A161" s="9" t="s">
        <v>152</v>
      </c>
      <c r="B161" s="1"/>
      <c r="C161" s="1" t="s">
        <v>990</v>
      </c>
      <c r="D161" s="12">
        <f t="shared" si="47"/>
        <v>18.479999999999997</v>
      </c>
      <c r="E161" s="83">
        <v>9.7799999999999994</v>
      </c>
      <c r="F161" s="83">
        <v>8.6999999999999993</v>
      </c>
      <c r="G161" s="12">
        <v>46.15</v>
      </c>
      <c r="H161" s="12">
        <v>83.9</v>
      </c>
      <c r="I161" s="12">
        <f t="shared" si="43"/>
        <v>3</v>
      </c>
      <c r="J161" s="12" t="str">
        <f t="shared" si="44"/>
        <v>Đạt</v>
      </c>
      <c r="K161" s="10"/>
      <c r="L161" s="96">
        <f t="shared" si="42"/>
        <v>29.669999999999998</v>
      </c>
      <c r="M161" s="10">
        <v>20.88</v>
      </c>
      <c r="N161" s="10">
        <v>8.7899999999999991</v>
      </c>
      <c r="O161" s="12">
        <v>46.15</v>
      </c>
      <c r="P161" s="97">
        <v>84.21052631578948</v>
      </c>
      <c r="Q161" s="12">
        <f t="shared" si="45"/>
        <v>3</v>
      </c>
      <c r="R161" s="12" t="str">
        <f t="shared" si="46"/>
        <v>Đạt</v>
      </c>
      <c r="S161" s="10"/>
      <c r="T161" s="95"/>
    </row>
    <row r="162" spans="1:21" s="84" customFormat="1" ht="14.25" hidden="1" customHeight="1" x14ac:dyDescent="0.25">
      <c r="A162" s="9" t="s">
        <v>153</v>
      </c>
      <c r="B162" s="1"/>
      <c r="C162" s="1" t="s">
        <v>936</v>
      </c>
      <c r="D162" s="12">
        <f t="shared" si="47"/>
        <v>5.15</v>
      </c>
      <c r="E162" s="83">
        <v>3.68</v>
      </c>
      <c r="F162" s="83">
        <v>1.47</v>
      </c>
      <c r="G162" s="12">
        <v>54.95</v>
      </c>
      <c r="H162" s="12">
        <v>80.7</v>
      </c>
      <c r="I162" s="12">
        <f t="shared" si="43"/>
        <v>2</v>
      </c>
      <c r="J162" s="12" t="str">
        <f t="shared" si="44"/>
        <v>Đạt</v>
      </c>
      <c r="K162" s="10"/>
      <c r="L162" s="96">
        <f t="shared" si="42"/>
        <v>9.86</v>
      </c>
      <c r="M162" s="10">
        <v>8.4499999999999993</v>
      </c>
      <c r="N162" s="10">
        <v>1.41</v>
      </c>
      <c r="O162" s="12">
        <v>54.95</v>
      </c>
      <c r="P162" s="97">
        <v>87.341772151898724</v>
      </c>
      <c r="Q162" s="12">
        <f t="shared" si="45"/>
        <v>2</v>
      </c>
      <c r="R162" s="12" t="str">
        <f t="shared" si="46"/>
        <v>Đạt</v>
      </c>
      <c r="S162" s="10"/>
      <c r="T162" s="95"/>
    </row>
    <row r="163" spans="1:21" s="84" customFormat="1" ht="14.25" hidden="1" customHeight="1" x14ac:dyDescent="0.25">
      <c r="A163" s="9" t="s">
        <v>154</v>
      </c>
      <c r="B163" s="1"/>
      <c r="C163" s="1" t="s">
        <v>991</v>
      </c>
      <c r="D163" s="12">
        <f t="shared" si="47"/>
        <v>2.04</v>
      </c>
      <c r="E163" s="83">
        <v>2.04</v>
      </c>
      <c r="F163" s="83">
        <v>0</v>
      </c>
      <c r="G163" s="12">
        <v>58.33</v>
      </c>
      <c r="H163" s="12">
        <v>88.1</v>
      </c>
      <c r="I163" s="12">
        <f t="shared" si="43"/>
        <v>2</v>
      </c>
      <c r="J163" s="12" t="str">
        <f t="shared" si="44"/>
        <v>Đạt</v>
      </c>
      <c r="K163" s="10"/>
      <c r="L163" s="96">
        <f t="shared" si="42"/>
        <v>6.33</v>
      </c>
      <c r="M163" s="10">
        <v>5.63</v>
      </c>
      <c r="N163" s="10">
        <v>0.7</v>
      </c>
      <c r="O163" s="12">
        <v>58.33</v>
      </c>
      <c r="P163" s="97">
        <v>87.096774193548384</v>
      </c>
      <c r="Q163" s="12">
        <f t="shared" si="45"/>
        <v>2</v>
      </c>
      <c r="R163" s="12" t="str">
        <f t="shared" si="46"/>
        <v>Đạt</v>
      </c>
      <c r="S163" s="10"/>
      <c r="T163" s="95"/>
    </row>
    <row r="164" spans="1:21" s="84" customFormat="1" ht="43.5" customHeight="1" x14ac:dyDescent="0.25">
      <c r="A164" s="9" t="s">
        <v>155</v>
      </c>
      <c r="B164" s="1"/>
      <c r="C164" s="1" t="s">
        <v>992</v>
      </c>
      <c r="D164" s="12">
        <f t="shared" si="47"/>
        <v>2.61</v>
      </c>
      <c r="E164" s="83">
        <v>1.96</v>
      </c>
      <c r="F164" s="83">
        <v>0.65</v>
      </c>
      <c r="G164" s="12">
        <v>57.8</v>
      </c>
      <c r="H164" s="12">
        <v>94.9</v>
      </c>
      <c r="I164" s="12">
        <f t="shared" si="43"/>
        <v>1</v>
      </c>
      <c r="J164" s="12" t="str">
        <f t="shared" si="44"/>
        <v>Không đạt</v>
      </c>
      <c r="K164" s="10"/>
      <c r="L164" s="96">
        <f t="shared" si="42"/>
        <v>6.46</v>
      </c>
      <c r="M164" s="10">
        <v>5.81</v>
      </c>
      <c r="N164" s="10">
        <v>0.65</v>
      </c>
      <c r="O164" s="12">
        <v>57.8</v>
      </c>
      <c r="P164" s="97">
        <v>83.333333333333343</v>
      </c>
      <c r="Q164" s="12">
        <f t="shared" si="45"/>
        <v>2</v>
      </c>
      <c r="R164" s="12" t="str">
        <f t="shared" si="46"/>
        <v>Đạt</v>
      </c>
      <c r="S164" s="10" t="s">
        <v>1190</v>
      </c>
      <c r="T164" s="95"/>
    </row>
    <row r="165" spans="1:21" s="109" customFormat="1" ht="42" customHeight="1" x14ac:dyDescent="0.25">
      <c r="A165" s="63" t="s">
        <v>867</v>
      </c>
      <c r="B165" s="64" t="s">
        <v>80</v>
      </c>
      <c r="C165" s="64"/>
      <c r="D165" s="66"/>
      <c r="E165" s="106"/>
      <c r="F165" s="106"/>
      <c r="G165" s="66"/>
      <c r="H165" s="66"/>
      <c r="I165" s="66"/>
      <c r="J165" s="66"/>
      <c r="K165" s="68">
        <f>COUNTIF(J166:J194,"Đạt")</f>
        <v>8</v>
      </c>
      <c r="L165" s="107"/>
      <c r="M165" s="68"/>
      <c r="N165" s="68"/>
      <c r="O165" s="66"/>
      <c r="P165" s="108"/>
      <c r="Q165" s="69"/>
      <c r="R165" s="69"/>
      <c r="S165" s="68" t="s">
        <v>1210</v>
      </c>
      <c r="U165" s="84"/>
    </row>
    <row r="166" spans="1:21" s="130" customFormat="1" ht="45" x14ac:dyDescent="0.25">
      <c r="A166" s="23" t="s">
        <v>148</v>
      </c>
      <c r="B166" s="2"/>
      <c r="C166" s="2" t="s">
        <v>1153</v>
      </c>
      <c r="D166" s="4">
        <f t="shared" ref="D166:D194" si="48">E166+F166</f>
        <v>3.86</v>
      </c>
      <c r="E166" s="125">
        <v>1.96</v>
      </c>
      <c r="F166" s="125">
        <v>1.9</v>
      </c>
      <c r="G166" s="126">
        <v>40.200000000000003</v>
      </c>
      <c r="H166" s="126">
        <v>88.89</v>
      </c>
      <c r="I166" s="4">
        <f>SUM((IF(D166&gt;=16.24,1,0))+(IF(G166&lt;60,1,0))+(IF(H166&lt;90,1,0)))</f>
        <v>2</v>
      </c>
      <c r="J166" s="4" t="str">
        <f>IF(I166&gt;=2,"Đạt","Không đạt")</f>
        <v>Đạt</v>
      </c>
      <c r="K166" s="24"/>
      <c r="L166" s="127">
        <f t="shared" ref="L166:L194" si="49">M166+N166</f>
        <v>3.86</v>
      </c>
      <c r="M166" s="24">
        <v>1.96</v>
      </c>
      <c r="N166" s="24">
        <v>1.9</v>
      </c>
      <c r="O166" s="140">
        <v>71.3</v>
      </c>
      <c r="P166" s="128">
        <v>88.888888888888886</v>
      </c>
      <c r="Q166" s="4">
        <f t="shared" ref="Q166:Q194" si="50">SUM((IF(L166&gt;=16.24,1,0))+(IF(O166&lt;60,1,0))+(IF(P166&lt;90,1,0)))</f>
        <v>1</v>
      </c>
      <c r="R166" s="4" t="str">
        <f t="shared" ref="R166:R194" si="51">IF(Q166&gt;=2,"Đạt","Không đạt")</f>
        <v>Không đạt</v>
      </c>
      <c r="S166" s="24" t="s">
        <v>1209</v>
      </c>
      <c r="T166" s="129"/>
      <c r="U166" s="130" t="b">
        <f t="shared" ref="U166:U194" si="52">J166=R166</f>
        <v>0</v>
      </c>
    </row>
    <row r="167" spans="1:21" s="130" customFormat="1" hidden="1" x14ac:dyDescent="0.25">
      <c r="A167" s="23" t="s">
        <v>149</v>
      </c>
      <c r="B167" s="2"/>
      <c r="C167" s="2" t="s">
        <v>1154</v>
      </c>
      <c r="D167" s="4">
        <f t="shared" si="48"/>
        <v>7.59</v>
      </c>
      <c r="E167" s="125">
        <v>3.39</v>
      </c>
      <c r="F167" s="125">
        <v>4.2</v>
      </c>
      <c r="G167" s="126">
        <v>40.6</v>
      </c>
      <c r="H167" s="126">
        <v>94.07</v>
      </c>
      <c r="I167" s="4">
        <f t="shared" ref="I167:I194" si="53">SUM((IF(D167&gt;=16.24,1,0))+(IF(G167&lt;60,1,0))+(IF(H167&lt;90,1,0)))</f>
        <v>1</v>
      </c>
      <c r="J167" s="4" t="str">
        <f t="shared" ref="J167:J194" si="54">IF(I167&gt;=2,"Đạt","Không đạt")</f>
        <v>Không đạt</v>
      </c>
      <c r="K167" s="24"/>
      <c r="L167" s="127">
        <f t="shared" si="49"/>
        <v>7.59</v>
      </c>
      <c r="M167" s="24">
        <v>3.39</v>
      </c>
      <c r="N167" s="24">
        <v>4.2</v>
      </c>
      <c r="O167" s="140">
        <v>66.17</v>
      </c>
      <c r="P167" s="128">
        <v>94.067796610169495</v>
      </c>
      <c r="Q167" s="4">
        <f t="shared" si="50"/>
        <v>0</v>
      </c>
      <c r="R167" s="4" t="str">
        <f t="shared" si="51"/>
        <v>Không đạt</v>
      </c>
      <c r="S167" s="24"/>
      <c r="T167" s="129"/>
      <c r="U167" s="130" t="b">
        <f t="shared" si="52"/>
        <v>1</v>
      </c>
    </row>
    <row r="168" spans="1:21" s="130" customFormat="1" hidden="1" x14ac:dyDescent="0.25">
      <c r="A168" s="23" t="s">
        <v>150</v>
      </c>
      <c r="B168" s="2"/>
      <c r="C168" s="2" t="s">
        <v>1155</v>
      </c>
      <c r="D168" s="4">
        <f t="shared" si="48"/>
        <v>7.83</v>
      </c>
      <c r="E168" s="125">
        <v>2.63</v>
      </c>
      <c r="F168" s="125">
        <v>5.2</v>
      </c>
      <c r="G168" s="126">
        <v>48.7</v>
      </c>
      <c r="H168" s="126">
        <v>92.11</v>
      </c>
      <c r="I168" s="4">
        <f t="shared" si="53"/>
        <v>1</v>
      </c>
      <c r="J168" s="4" t="str">
        <f t="shared" si="54"/>
        <v>Không đạt</v>
      </c>
      <c r="K168" s="24"/>
      <c r="L168" s="127">
        <f t="shared" si="49"/>
        <v>7.83</v>
      </c>
      <c r="M168" s="24">
        <v>2.63</v>
      </c>
      <c r="N168" s="24">
        <v>5.2</v>
      </c>
      <c r="O168" s="140">
        <v>35.71</v>
      </c>
      <c r="P168" s="128">
        <v>92.10526315789474</v>
      </c>
      <c r="Q168" s="4">
        <f t="shared" si="50"/>
        <v>1</v>
      </c>
      <c r="R168" s="4" t="str">
        <f t="shared" si="51"/>
        <v>Không đạt</v>
      </c>
      <c r="S168" s="24"/>
      <c r="T168" s="129"/>
      <c r="U168" s="130" t="b">
        <f t="shared" si="52"/>
        <v>1</v>
      </c>
    </row>
    <row r="169" spans="1:21" s="130" customFormat="1" hidden="1" x14ac:dyDescent="0.25">
      <c r="A169" s="23" t="s">
        <v>151</v>
      </c>
      <c r="B169" s="2"/>
      <c r="C169" s="2" t="s">
        <v>1156</v>
      </c>
      <c r="D169" s="4">
        <f t="shared" si="48"/>
        <v>10.879999999999999</v>
      </c>
      <c r="E169" s="125">
        <v>4.08</v>
      </c>
      <c r="F169" s="125">
        <v>6.8</v>
      </c>
      <c r="G169" s="126">
        <v>41.3</v>
      </c>
      <c r="H169" s="126">
        <v>93.2</v>
      </c>
      <c r="I169" s="4">
        <f t="shared" si="53"/>
        <v>1</v>
      </c>
      <c r="J169" s="4" t="str">
        <f t="shared" si="54"/>
        <v>Không đạt</v>
      </c>
      <c r="K169" s="24"/>
      <c r="L169" s="127">
        <f t="shared" si="49"/>
        <v>10.879999999999999</v>
      </c>
      <c r="M169" s="24">
        <v>4.08</v>
      </c>
      <c r="N169" s="24">
        <v>6.8</v>
      </c>
      <c r="O169" s="140">
        <v>61.81</v>
      </c>
      <c r="P169" s="128">
        <v>93.197278911564624</v>
      </c>
      <c r="Q169" s="4">
        <f t="shared" si="50"/>
        <v>0</v>
      </c>
      <c r="R169" s="4" t="str">
        <f t="shared" si="51"/>
        <v>Không đạt</v>
      </c>
      <c r="S169" s="24"/>
      <c r="T169" s="129"/>
      <c r="U169" s="130" t="b">
        <f t="shared" si="52"/>
        <v>1</v>
      </c>
    </row>
    <row r="170" spans="1:21" s="130" customFormat="1" hidden="1" x14ac:dyDescent="0.25">
      <c r="A170" s="23" t="s">
        <v>152</v>
      </c>
      <c r="B170" s="2"/>
      <c r="C170" s="2" t="s">
        <v>1157</v>
      </c>
      <c r="D170" s="4">
        <f t="shared" si="48"/>
        <v>7.57</v>
      </c>
      <c r="E170" s="125">
        <v>2.0699999999999998</v>
      </c>
      <c r="F170" s="125">
        <v>5.5</v>
      </c>
      <c r="G170" s="126">
        <v>50.7</v>
      </c>
      <c r="H170" s="126">
        <v>94.48</v>
      </c>
      <c r="I170" s="4">
        <f t="shared" si="53"/>
        <v>1</v>
      </c>
      <c r="J170" s="4" t="str">
        <f t="shared" si="54"/>
        <v>Không đạt</v>
      </c>
      <c r="K170" s="24"/>
      <c r="L170" s="127">
        <f t="shared" si="49"/>
        <v>7.57</v>
      </c>
      <c r="M170" s="24">
        <v>2.0699999999999998</v>
      </c>
      <c r="N170" s="24">
        <v>5.5</v>
      </c>
      <c r="O170" s="140">
        <v>52.91</v>
      </c>
      <c r="P170" s="128">
        <v>94.482758620689651</v>
      </c>
      <c r="Q170" s="4">
        <f t="shared" si="50"/>
        <v>1</v>
      </c>
      <c r="R170" s="4" t="str">
        <f t="shared" si="51"/>
        <v>Không đạt</v>
      </c>
      <c r="S170" s="24"/>
      <c r="T170" s="129"/>
      <c r="U170" s="130" t="b">
        <f t="shared" si="52"/>
        <v>1</v>
      </c>
    </row>
    <row r="171" spans="1:21" s="130" customFormat="1" hidden="1" x14ac:dyDescent="0.25">
      <c r="A171" s="23" t="s">
        <v>153</v>
      </c>
      <c r="B171" s="2"/>
      <c r="C171" s="2" t="s">
        <v>1158</v>
      </c>
      <c r="D171" s="4">
        <f t="shared" si="48"/>
        <v>13.47</v>
      </c>
      <c r="E171" s="125">
        <v>3.17</v>
      </c>
      <c r="F171" s="125">
        <v>10.3</v>
      </c>
      <c r="G171" s="126">
        <v>30.6</v>
      </c>
      <c r="H171" s="126">
        <v>92.06</v>
      </c>
      <c r="I171" s="4">
        <f t="shared" si="53"/>
        <v>1</v>
      </c>
      <c r="J171" s="4" t="str">
        <f t="shared" si="54"/>
        <v>Không đạt</v>
      </c>
      <c r="K171" s="24"/>
      <c r="L171" s="127">
        <f t="shared" si="49"/>
        <v>13.47</v>
      </c>
      <c r="M171" s="24">
        <v>3.17</v>
      </c>
      <c r="N171" s="24">
        <v>10.3</v>
      </c>
      <c r="O171" s="140">
        <v>77.17</v>
      </c>
      <c r="P171" s="128">
        <v>88.55421686746989</v>
      </c>
      <c r="Q171" s="4">
        <f t="shared" si="50"/>
        <v>1</v>
      </c>
      <c r="R171" s="4" t="str">
        <f t="shared" si="51"/>
        <v>Không đạt</v>
      </c>
      <c r="S171" s="24"/>
      <c r="T171" s="129"/>
      <c r="U171" s="130" t="b">
        <f t="shared" si="52"/>
        <v>1</v>
      </c>
    </row>
    <row r="172" spans="1:21" s="130" customFormat="1" ht="45" x14ac:dyDescent="0.25">
      <c r="A172" s="23" t="s">
        <v>154</v>
      </c>
      <c r="B172" s="2"/>
      <c r="C172" s="2" t="s">
        <v>1159</v>
      </c>
      <c r="D172" s="4">
        <f t="shared" si="48"/>
        <v>12.62</v>
      </c>
      <c r="E172" s="125">
        <v>6.02</v>
      </c>
      <c r="F172" s="125">
        <v>6.6</v>
      </c>
      <c r="G172" s="126">
        <v>33.93</v>
      </c>
      <c r="H172" s="126">
        <v>88.55</v>
      </c>
      <c r="I172" s="4">
        <f t="shared" si="53"/>
        <v>2</v>
      </c>
      <c r="J172" s="4" t="str">
        <f t="shared" si="54"/>
        <v>Đạt</v>
      </c>
      <c r="K172" s="24"/>
      <c r="L172" s="127">
        <f t="shared" si="49"/>
        <v>12.62</v>
      </c>
      <c r="M172" s="24">
        <v>6.02</v>
      </c>
      <c r="N172" s="24">
        <v>6.6</v>
      </c>
      <c r="O172" s="140">
        <v>73.03</v>
      </c>
      <c r="P172" s="128">
        <v>92.063492063492063</v>
      </c>
      <c r="Q172" s="4">
        <f t="shared" si="50"/>
        <v>0</v>
      </c>
      <c r="R172" s="4" t="str">
        <f t="shared" si="51"/>
        <v>Không đạt</v>
      </c>
      <c r="S172" s="24" t="s">
        <v>1211</v>
      </c>
      <c r="T172" s="129"/>
      <c r="U172" s="130" t="b">
        <f t="shared" si="52"/>
        <v>0</v>
      </c>
    </row>
    <row r="173" spans="1:21" s="130" customFormat="1" hidden="1" x14ac:dyDescent="0.25">
      <c r="A173" s="23" t="s">
        <v>155</v>
      </c>
      <c r="B173" s="2"/>
      <c r="C173" s="2" t="s">
        <v>1160</v>
      </c>
      <c r="D173" s="4">
        <f t="shared" si="48"/>
        <v>11.059999999999999</v>
      </c>
      <c r="E173" s="125">
        <v>2.96</v>
      </c>
      <c r="F173" s="125">
        <v>8.1</v>
      </c>
      <c r="G173" s="126">
        <v>54.5</v>
      </c>
      <c r="H173" s="126">
        <v>91.85</v>
      </c>
      <c r="I173" s="4">
        <f t="shared" si="53"/>
        <v>1</v>
      </c>
      <c r="J173" s="4" t="str">
        <f t="shared" si="54"/>
        <v>Không đạt</v>
      </c>
      <c r="K173" s="24"/>
      <c r="L173" s="127">
        <f t="shared" si="49"/>
        <v>11.059999999999999</v>
      </c>
      <c r="M173" s="24">
        <v>2.96</v>
      </c>
      <c r="N173" s="24">
        <v>8.1</v>
      </c>
      <c r="O173" s="140">
        <v>40.39</v>
      </c>
      <c r="P173" s="128">
        <v>92.99363057324841</v>
      </c>
      <c r="Q173" s="4">
        <f t="shared" si="50"/>
        <v>1</v>
      </c>
      <c r="R173" s="4" t="str">
        <f t="shared" si="51"/>
        <v>Không đạt</v>
      </c>
      <c r="S173" s="24"/>
      <c r="T173" s="129"/>
      <c r="U173" s="130" t="b">
        <f t="shared" si="52"/>
        <v>1</v>
      </c>
    </row>
    <row r="174" spans="1:21" s="130" customFormat="1" ht="45" x14ac:dyDescent="0.25">
      <c r="A174" s="23" t="s">
        <v>156</v>
      </c>
      <c r="B174" s="2"/>
      <c r="C174" s="2" t="s">
        <v>1161</v>
      </c>
      <c r="D174" s="4">
        <f t="shared" si="48"/>
        <v>21.189999999999998</v>
      </c>
      <c r="E174" s="125">
        <v>7.09</v>
      </c>
      <c r="F174" s="125">
        <v>14.1</v>
      </c>
      <c r="G174" s="126">
        <v>35.700000000000003</v>
      </c>
      <c r="H174" s="126">
        <v>86.61</v>
      </c>
      <c r="I174" s="4">
        <f t="shared" si="53"/>
        <v>3</v>
      </c>
      <c r="J174" s="4" t="str">
        <f t="shared" si="54"/>
        <v>Đạt</v>
      </c>
      <c r="K174" s="24"/>
      <c r="L174" s="127">
        <f t="shared" si="49"/>
        <v>21.189999999999998</v>
      </c>
      <c r="M174" s="24">
        <v>7.09</v>
      </c>
      <c r="N174" s="24">
        <v>14.1</v>
      </c>
      <c r="O174" s="140">
        <v>73.760000000000005</v>
      </c>
      <c r="P174" s="128">
        <v>90.532544378698233</v>
      </c>
      <c r="Q174" s="4">
        <f t="shared" si="50"/>
        <v>1</v>
      </c>
      <c r="R174" s="4" t="str">
        <f t="shared" si="51"/>
        <v>Không đạt</v>
      </c>
      <c r="S174" s="24" t="s">
        <v>1211</v>
      </c>
      <c r="T174" s="129"/>
      <c r="U174" s="130" t="b">
        <f t="shared" si="52"/>
        <v>0</v>
      </c>
    </row>
    <row r="175" spans="1:21" s="130" customFormat="1" ht="45" x14ac:dyDescent="0.25">
      <c r="A175" s="23" t="s">
        <v>157</v>
      </c>
      <c r="B175" s="2"/>
      <c r="C175" s="2" t="s">
        <v>1162</v>
      </c>
      <c r="D175" s="4">
        <f t="shared" si="48"/>
        <v>14.75</v>
      </c>
      <c r="E175" s="125">
        <v>7.95</v>
      </c>
      <c r="F175" s="125">
        <v>6.8</v>
      </c>
      <c r="G175" s="126">
        <v>25.7</v>
      </c>
      <c r="H175" s="126">
        <v>79.55</v>
      </c>
      <c r="I175" s="4">
        <f t="shared" si="53"/>
        <v>2</v>
      </c>
      <c r="J175" s="4" t="str">
        <f t="shared" si="54"/>
        <v>Đạt</v>
      </c>
      <c r="K175" s="24"/>
      <c r="L175" s="127">
        <f t="shared" si="49"/>
        <v>14.75</v>
      </c>
      <c r="M175" s="24">
        <v>7.95</v>
      </c>
      <c r="N175" s="24">
        <v>6.8</v>
      </c>
      <c r="O175" s="140">
        <v>68.569999999999993</v>
      </c>
      <c r="P175" s="128">
        <v>86.206896551724142</v>
      </c>
      <c r="Q175" s="4">
        <f t="shared" si="50"/>
        <v>1</v>
      </c>
      <c r="R175" s="4" t="str">
        <f t="shared" si="51"/>
        <v>Không đạt</v>
      </c>
      <c r="S175" s="24" t="s">
        <v>1211</v>
      </c>
      <c r="T175" s="129"/>
      <c r="U175" s="130" t="b">
        <f t="shared" si="52"/>
        <v>0</v>
      </c>
    </row>
    <row r="176" spans="1:21" s="130" customFormat="1" hidden="1" x14ac:dyDescent="0.25">
      <c r="A176" s="23" t="s">
        <v>158</v>
      </c>
      <c r="B176" s="2"/>
      <c r="C176" s="2" t="s">
        <v>1163</v>
      </c>
      <c r="D176" s="4">
        <f t="shared" si="48"/>
        <v>5.88</v>
      </c>
      <c r="E176" s="125">
        <v>1.78</v>
      </c>
      <c r="F176" s="125">
        <v>4.0999999999999996</v>
      </c>
      <c r="G176" s="126">
        <v>40.299999999999997</v>
      </c>
      <c r="H176" s="126">
        <v>90.53</v>
      </c>
      <c r="I176" s="4">
        <f t="shared" si="53"/>
        <v>1</v>
      </c>
      <c r="J176" s="4" t="str">
        <f t="shared" si="54"/>
        <v>Không đạt</v>
      </c>
      <c r="K176" s="24"/>
      <c r="L176" s="127">
        <f t="shared" si="49"/>
        <v>5.88</v>
      </c>
      <c r="M176" s="24">
        <v>1.78</v>
      </c>
      <c r="N176" s="24">
        <v>4.0999999999999996</v>
      </c>
      <c r="O176" s="140">
        <v>64.930000000000007</v>
      </c>
      <c r="P176" s="128">
        <v>79.545454545454547</v>
      </c>
      <c r="Q176" s="4">
        <f t="shared" si="50"/>
        <v>1</v>
      </c>
      <c r="R176" s="4" t="str">
        <f t="shared" si="51"/>
        <v>Không đạt</v>
      </c>
      <c r="S176" s="24"/>
      <c r="T176" s="129"/>
      <c r="U176" s="130" t="b">
        <f t="shared" si="52"/>
        <v>1</v>
      </c>
    </row>
    <row r="177" spans="1:21" s="130" customFormat="1" hidden="1" x14ac:dyDescent="0.25">
      <c r="A177" s="23" t="s">
        <v>159</v>
      </c>
      <c r="B177" s="2"/>
      <c r="C177" s="2" t="s">
        <v>1164</v>
      </c>
      <c r="D177" s="4">
        <f t="shared" si="48"/>
        <v>7.2200000000000006</v>
      </c>
      <c r="E177" s="125">
        <v>1.82</v>
      </c>
      <c r="F177" s="125">
        <v>5.4</v>
      </c>
      <c r="G177" s="126">
        <v>49.6</v>
      </c>
      <c r="H177" s="126">
        <v>93.94</v>
      </c>
      <c r="I177" s="4">
        <f t="shared" si="53"/>
        <v>1</v>
      </c>
      <c r="J177" s="4" t="str">
        <f t="shared" si="54"/>
        <v>Không đạt</v>
      </c>
      <c r="K177" s="24"/>
      <c r="L177" s="127">
        <f t="shared" si="49"/>
        <v>7.2200000000000006</v>
      </c>
      <c r="M177" s="24">
        <v>1.82</v>
      </c>
      <c r="N177" s="24">
        <v>5.4</v>
      </c>
      <c r="O177" s="140">
        <v>52.73</v>
      </c>
      <c r="P177" s="128">
        <v>93.939393939393938</v>
      </c>
      <c r="Q177" s="4">
        <f t="shared" si="50"/>
        <v>1</v>
      </c>
      <c r="R177" s="4" t="str">
        <f t="shared" si="51"/>
        <v>Không đạt</v>
      </c>
      <c r="S177" s="24"/>
      <c r="T177" s="129"/>
      <c r="U177" s="130" t="b">
        <f t="shared" si="52"/>
        <v>1</v>
      </c>
    </row>
    <row r="178" spans="1:21" s="130" customFormat="1" hidden="1" x14ac:dyDescent="0.25">
      <c r="A178" s="23" t="s">
        <v>160</v>
      </c>
      <c r="B178" s="2"/>
      <c r="C178" s="2" t="s">
        <v>1165</v>
      </c>
      <c r="D178" s="4">
        <f t="shared" si="48"/>
        <v>6.95</v>
      </c>
      <c r="E178" s="125">
        <v>2.5499999999999998</v>
      </c>
      <c r="F178" s="125">
        <v>4.4000000000000004</v>
      </c>
      <c r="G178" s="126">
        <v>40.799999999999997</v>
      </c>
      <c r="H178" s="126">
        <v>92.99</v>
      </c>
      <c r="I178" s="4">
        <f t="shared" si="53"/>
        <v>1</v>
      </c>
      <c r="J178" s="4" t="str">
        <f t="shared" si="54"/>
        <v>Không đạt</v>
      </c>
      <c r="K178" s="24"/>
      <c r="L178" s="127">
        <f t="shared" si="49"/>
        <v>6.95</v>
      </c>
      <c r="M178" s="24">
        <v>2.5499999999999998</v>
      </c>
      <c r="N178" s="24">
        <v>4.4000000000000004</v>
      </c>
      <c r="O178" s="140">
        <v>58.42</v>
      </c>
      <c r="P178" s="128">
        <v>91.851851851851848</v>
      </c>
      <c r="Q178" s="4">
        <f t="shared" si="50"/>
        <v>1</v>
      </c>
      <c r="R178" s="4" t="str">
        <f t="shared" si="51"/>
        <v>Không đạt</v>
      </c>
      <c r="S178" s="24"/>
      <c r="T178" s="129"/>
      <c r="U178" s="130" t="b">
        <f t="shared" si="52"/>
        <v>1</v>
      </c>
    </row>
    <row r="179" spans="1:21" s="130" customFormat="1" hidden="1" x14ac:dyDescent="0.25">
      <c r="A179" s="23" t="s">
        <v>161</v>
      </c>
      <c r="B179" s="2"/>
      <c r="C179" s="2" t="s">
        <v>1166</v>
      </c>
      <c r="D179" s="4">
        <f t="shared" si="48"/>
        <v>11.73</v>
      </c>
      <c r="E179" s="125">
        <v>4.83</v>
      </c>
      <c r="F179" s="125">
        <v>6.9</v>
      </c>
      <c r="G179" s="126">
        <v>41.6</v>
      </c>
      <c r="H179" s="126">
        <v>86.21</v>
      </c>
      <c r="I179" s="4">
        <f t="shared" si="53"/>
        <v>2</v>
      </c>
      <c r="J179" s="4" t="str">
        <f t="shared" si="54"/>
        <v>Đạt</v>
      </c>
      <c r="K179" s="24"/>
      <c r="L179" s="127">
        <f t="shared" si="49"/>
        <v>11.73</v>
      </c>
      <c r="M179" s="24">
        <v>4.83</v>
      </c>
      <c r="N179" s="24">
        <v>6.9</v>
      </c>
      <c r="O179" s="140">
        <v>50</v>
      </c>
      <c r="P179" s="128">
        <v>86.614173228346459</v>
      </c>
      <c r="Q179" s="4">
        <f t="shared" si="50"/>
        <v>2</v>
      </c>
      <c r="R179" s="4" t="str">
        <f t="shared" si="51"/>
        <v>Đạt</v>
      </c>
      <c r="S179" s="24"/>
      <c r="T179" s="129"/>
      <c r="U179" s="130" t="b">
        <f t="shared" si="52"/>
        <v>1</v>
      </c>
    </row>
    <row r="180" spans="1:21" s="138" customFormat="1" ht="45" x14ac:dyDescent="0.25">
      <c r="A180" s="131" t="s">
        <v>162</v>
      </c>
      <c r="B180" s="132"/>
      <c r="C180" s="132" t="s">
        <v>1167</v>
      </c>
      <c r="D180" s="17">
        <f t="shared" si="48"/>
        <v>10.74</v>
      </c>
      <c r="E180" s="133">
        <v>5.04</v>
      </c>
      <c r="F180" s="133">
        <v>5.7</v>
      </c>
      <c r="G180" s="134">
        <v>50.2</v>
      </c>
      <c r="H180" s="134">
        <v>93.53</v>
      </c>
      <c r="I180" s="17">
        <f t="shared" si="53"/>
        <v>1</v>
      </c>
      <c r="J180" s="17" t="str">
        <f t="shared" si="54"/>
        <v>Không đạt</v>
      </c>
      <c r="K180" s="41"/>
      <c r="L180" s="135">
        <f t="shared" si="49"/>
        <v>10.74</v>
      </c>
      <c r="M180" s="41">
        <v>5.04</v>
      </c>
      <c r="N180" s="41">
        <v>5.7</v>
      </c>
      <c r="O180" s="141">
        <v>34.9</v>
      </c>
      <c r="P180" s="136">
        <v>88.13559322033899</v>
      </c>
      <c r="Q180" s="17">
        <f t="shared" si="50"/>
        <v>2</v>
      </c>
      <c r="R180" s="17" t="str">
        <f t="shared" si="51"/>
        <v>Đạt</v>
      </c>
      <c r="S180" s="41" t="s">
        <v>1209</v>
      </c>
      <c r="T180" s="137"/>
      <c r="U180" s="138" t="b">
        <f t="shared" si="52"/>
        <v>0</v>
      </c>
    </row>
    <row r="181" spans="1:21" s="130" customFormat="1" hidden="1" x14ac:dyDescent="0.25">
      <c r="A181" s="23" t="s">
        <v>163</v>
      </c>
      <c r="B181" s="2"/>
      <c r="C181" s="2" t="s">
        <v>1168</v>
      </c>
      <c r="D181" s="4">
        <f t="shared" si="48"/>
        <v>6.52</v>
      </c>
      <c r="E181" s="125">
        <v>2.92</v>
      </c>
      <c r="F181" s="125">
        <v>3.6</v>
      </c>
      <c r="G181" s="126">
        <v>35.5</v>
      </c>
      <c r="H181" s="126">
        <v>90.51</v>
      </c>
      <c r="I181" s="4">
        <f t="shared" si="53"/>
        <v>1</v>
      </c>
      <c r="J181" s="4" t="str">
        <f t="shared" si="54"/>
        <v>Không đạt</v>
      </c>
      <c r="K181" s="24"/>
      <c r="L181" s="127">
        <f t="shared" si="49"/>
        <v>6.52</v>
      </c>
      <c r="M181" s="24">
        <v>2.92</v>
      </c>
      <c r="N181" s="24">
        <v>3.6</v>
      </c>
      <c r="O181" s="140">
        <v>54.48</v>
      </c>
      <c r="P181" s="128">
        <v>90.178571428571416</v>
      </c>
      <c r="Q181" s="4">
        <f t="shared" si="50"/>
        <v>1</v>
      </c>
      <c r="R181" s="4" t="str">
        <f t="shared" si="51"/>
        <v>Không đạt</v>
      </c>
      <c r="S181" s="24"/>
      <c r="T181" s="129"/>
      <c r="U181" s="130" t="b">
        <f t="shared" si="52"/>
        <v>1</v>
      </c>
    </row>
    <row r="182" spans="1:21" s="130" customFormat="1" hidden="1" x14ac:dyDescent="0.25">
      <c r="A182" s="23" t="s">
        <v>164</v>
      </c>
      <c r="B182" s="2"/>
      <c r="C182" s="2" t="s">
        <v>1169</v>
      </c>
      <c r="D182" s="4">
        <f t="shared" si="48"/>
        <v>4.24</v>
      </c>
      <c r="E182" s="125">
        <v>1.44</v>
      </c>
      <c r="F182" s="125">
        <v>2.8</v>
      </c>
      <c r="G182" s="126">
        <v>41.8</v>
      </c>
      <c r="H182" s="126">
        <v>94.24</v>
      </c>
      <c r="I182" s="4">
        <f t="shared" si="53"/>
        <v>1</v>
      </c>
      <c r="J182" s="4" t="str">
        <f t="shared" si="54"/>
        <v>Không đạt</v>
      </c>
      <c r="K182" s="24"/>
      <c r="L182" s="127">
        <f t="shared" si="49"/>
        <v>4.32</v>
      </c>
      <c r="M182" s="24">
        <v>1.44</v>
      </c>
      <c r="N182" s="24">
        <v>2.88</v>
      </c>
      <c r="O182" s="140">
        <v>48.4</v>
      </c>
      <c r="P182" s="128">
        <v>94.24460431654677</v>
      </c>
      <c r="Q182" s="4">
        <f t="shared" si="50"/>
        <v>1</v>
      </c>
      <c r="R182" s="4" t="str">
        <f t="shared" si="51"/>
        <v>Không đạt</v>
      </c>
      <c r="S182" s="24"/>
      <c r="T182" s="129"/>
      <c r="U182" s="130" t="b">
        <f t="shared" si="52"/>
        <v>1</v>
      </c>
    </row>
    <row r="183" spans="1:21" s="130" customFormat="1" hidden="1" x14ac:dyDescent="0.25">
      <c r="A183" s="23" t="s">
        <v>165</v>
      </c>
      <c r="B183" s="2"/>
      <c r="C183" s="2" t="s">
        <v>1170</v>
      </c>
      <c r="D183" s="4">
        <f t="shared" si="48"/>
        <v>10.66</v>
      </c>
      <c r="E183" s="125">
        <v>5.36</v>
      </c>
      <c r="F183" s="125">
        <v>5.3</v>
      </c>
      <c r="G183" s="126">
        <v>45.15</v>
      </c>
      <c r="H183" s="126">
        <v>90.18</v>
      </c>
      <c r="I183" s="4">
        <f t="shared" si="53"/>
        <v>1</v>
      </c>
      <c r="J183" s="4" t="str">
        <f t="shared" si="54"/>
        <v>Không đạt</v>
      </c>
      <c r="K183" s="24"/>
      <c r="L183" s="127">
        <f t="shared" si="49"/>
        <v>10.66</v>
      </c>
      <c r="M183" s="24">
        <v>5.36</v>
      </c>
      <c r="N183" s="24">
        <v>5.3</v>
      </c>
      <c r="O183" s="140">
        <v>38.19</v>
      </c>
      <c r="P183" s="128">
        <v>90.510948905109487</v>
      </c>
      <c r="Q183" s="4">
        <f t="shared" si="50"/>
        <v>1</v>
      </c>
      <c r="R183" s="4" t="str">
        <f t="shared" si="51"/>
        <v>Không đạt</v>
      </c>
      <c r="S183" s="24"/>
      <c r="T183" s="129"/>
      <c r="U183" s="130" t="b">
        <f t="shared" si="52"/>
        <v>1</v>
      </c>
    </row>
    <row r="184" spans="1:21" s="130" customFormat="1" ht="45" x14ac:dyDescent="0.25">
      <c r="A184" s="23" t="s">
        <v>166</v>
      </c>
      <c r="B184" s="2"/>
      <c r="C184" s="2" t="s">
        <v>1171</v>
      </c>
      <c r="D184" s="4">
        <f t="shared" si="48"/>
        <v>25.369999999999997</v>
      </c>
      <c r="E184" s="125">
        <v>10.17</v>
      </c>
      <c r="F184" s="125">
        <v>15.2</v>
      </c>
      <c r="G184" s="126">
        <v>33.6</v>
      </c>
      <c r="H184" s="126">
        <v>88.14</v>
      </c>
      <c r="I184" s="4">
        <f t="shared" si="53"/>
        <v>3</v>
      </c>
      <c r="J184" s="4" t="str">
        <f t="shared" si="54"/>
        <v>Đạt</v>
      </c>
      <c r="K184" s="24"/>
      <c r="L184" s="127">
        <f t="shared" si="49"/>
        <v>25.369999999999997</v>
      </c>
      <c r="M184" s="24">
        <v>10.17</v>
      </c>
      <c r="N184" s="24">
        <v>15.2</v>
      </c>
      <c r="O184" s="140">
        <v>70.069999999999993</v>
      </c>
      <c r="P184" s="128">
        <v>93.525179856115116</v>
      </c>
      <c r="Q184" s="4">
        <f t="shared" si="50"/>
        <v>1</v>
      </c>
      <c r="R184" s="4" t="str">
        <f t="shared" si="51"/>
        <v>Không đạt</v>
      </c>
      <c r="S184" s="24" t="s">
        <v>1211</v>
      </c>
      <c r="T184" s="129"/>
      <c r="U184" s="130" t="b">
        <f t="shared" si="52"/>
        <v>0</v>
      </c>
    </row>
    <row r="185" spans="1:21" s="130" customFormat="1" hidden="1" x14ac:dyDescent="0.25">
      <c r="A185" s="23" t="s">
        <v>167</v>
      </c>
      <c r="B185" s="2"/>
      <c r="C185" s="2" t="s">
        <v>266</v>
      </c>
      <c r="D185" s="4">
        <f t="shared" si="48"/>
        <v>7.26</v>
      </c>
      <c r="E185" s="125">
        <v>1.56</v>
      </c>
      <c r="F185" s="125">
        <v>5.7</v>
      </c>
      <c r="G185" s="126">
        <v>39.700000000000003</v>
      </c>
      <c r="H185" s="126">
        <v>90.63</v>
      </c>
      <c r="I185" s="4">
        <f t="shared" si="53"/>
        <v>1</v>
      </c>
      <c r="J185" s="4" t="str">
        <f t="shared" si="54"/>
        <v>Không đạt</v>
      </c>
      <c r="K185" s="24"/>
      <c r="L185" s="127">
        <f t="shared" si="49"/>
        <v>7.26</v>
      </c>
      <c r="M185" s="24">
        <v>1.56</v>
      </c>
      <c r="N185" s="24">
        <v>5.7</v>
      </c>
      <c r="O185" s="140">
        <v>61.86</v>
      </c>
      <c r="P185" s="128">
        <v>91.794871794871796</v>
      </c>
      <c r="Q185" s="4">
        <f t="shared" si="50"/>
        <v>0</v>
      </c>
      <c r="R185" s="4" t="str">
        <f t="shared" si="51"/>
        <v>Không đạt</v>
      </c>
      <c r="S185" s="24"/>
      <c r="T185" s="129"/>
      <c r="U185" s="130" t="b">
        <f t="shared" si="52"/>
        <v>1</v>
      </c>
    </row>
    <row r="186" spans="1:21" s="130" customFormat="1" hidden="1" x14ac:dyDescent="0.25">
      <c r="A186" s="23" t="s">
        <v>168</v>
      </c>
      <c r="B186" s="2"/>
      <c r="C186" s="2" t="s">
        <v>267</v>
      </c>
      <c r="D186" s="4">
        <f t="shared" si="48"/>
        <v>2.5300000000000002</v>
      </c>
      <c r="E186" s="125">
        <v>1.03</v>
      </c>
      <c r="F186" s="125">
        <v>1.5</v>
      </c>
      <c r="G186" s="126">
        <v>41.8</v>
      </c>
      <c r="H186" s="126">
        <v>91.79</v>
      </c>
      <c r="I186" s="4">
        <f t="shared" si="53"/>
        <v>1</v>
      </c>
      <c r="J186" s="4" t="str">
        <f t="shared" si="54"/>
        <v>Không đạt</v>
      </c>
      <c r="K186" s="24"/>
      <c r="L186" s="127">
        <f t="shared" si="49"/>
        <v>2.5300000000000002</v>
      </c>
      <c r="M186" s="24">
        <v>1.03</v>
      </c>
      <c r="N186" s="24">
        <v>1.5</v>
      </c>
      <c r="O186" s="140">
        <v>50.53</v>
      </c>
      <c r="P186" s="128">
        <v>90</v>
      </c>
      <c r="Q186" s="4">
        <f t="shared" si="50"/>
        <v>1</v>
      </c>
      <c r="R186" s="4" t="str">
        <f t="shared" si="51"/>
        <v>Không đạt</v>
      </c>
      <c r="S186" s="24"/>
      <c r="T186" s="129"/>
      <c r="U186" s="130" t="b">
        <f t="shared" si="52"/>
        <v>1</v>
      </c>
    </row>
    <row r="187" spans="1:21" s="130" customFormat="1" hidden="1" x14ac:dyDescent="0.25">
      <c r="A187" s="23" t="s">
        <v>169</v>
      </c>
      <c r="B187" s="2"/>
      <c r="C187" s="2" t="s">
        <v>268</v>
      </c>
      <c r="D187" s="4">
        <f t="shared" si="48"/>
        <v>12.209999999999999</v>
      </c>
      <c r="E187" s="125">
        <v>1.1100000000000001</v>
      </c>
      <c r="F187" s="125">
        <v>11.1</v>
      </c>
      <c r="G187" s="126">
        <v>49.8</v>
      </c>
      <c r="H187" s="126">
        <v>90</v>
      </c>
      <c r="I187" s="4">
        <f t="shared" si="53"/>
        <v>1</v>
      </c>
      <c r="J187" s="4" t="str">
        <f t="shared" si="54"/>
        <v>Không đạt</v>
      </c>
      <c r="K187" s="24"/>
      <c r="L187" s="127">
        <f t="shared" si="49"/>
        <v>12.209999999999999</v>
      </c>
      <c r="M187" s="24">
        <v>1.1100000000000001</v>
      </c>
      <c r="N187" s="24">
        <v>11.1</v>
      </c>
      <c r="O187" s="140">
        <v>51.42</v>
      </c>
      <c r="P187" s="128">
        <v>91.061452513966472</v>
      </c>
      <c r="Q187" s="4">
        <f t="shared" si="50"/>
        <v>1</v>
      </c>
      <c r="R187" s="4" t="str">
        <f t="shared" si="51"/>
        <v>Không đạt</v>
      </c>
      <c r="S187" s="24"/>
      <c r="T187" s="129"/>
      <c r="U187" s="130" t="b">
        <f t="shared" si="52"/>
        <v>1</v>
      </c>
    </row>
    <row r="188" spans="1:21" s="130" customFormat="1" hidden="1" x14ac:dyDescent="0.25">
      <c r="A188" s="23" t="s">
        <v>170</v>
      </c>
      <c r="B188" s="2"/>
      <c r="C188" s="2" t="s">
        <v>269</v>
      </c>
      <c r="D188" s="4">
        <f t="shared" si="48"/>
        <v>4.42</v>
      </c>
      <c r="E188" s="125">
        <v>1.1200000000000001</v>
      </c>
      <c r="F188" s="125">
        <v>3.3</v>
      </c>
      <c r="G188" s="126">
        <v>36.700000000000003</v>
      </c>
      <c r="H188" s="126">
        <v>91.06</v>
      </c>
      <c r="I188" s="4">
        <f t="shared" si="53"/>
        <v>1</v>
      </c>
      <c r="J188" s="4" t="str">
        <f t="shared" si="54"/>
        <v>Không đạt</v>
      </c>
      <c r="K188" s="24"/>
      <c r="L188" s="127">
        <f t="shared" si="49"/>
        <v>4.42</v>
      </c>
      <c r="M188" s="24">
        <v>1.1200000000000001</v>
      </c>
      <c r="N188" s="24">
        <v>3.3</v>
      </c>
      <c r="O188" s="140">
        <v>49.06</v>
      </c>
      <c r="P188" s="128">
        <v>90.243902439024396</v>
      </c>
      <c r="Q188" s="4">
        <f t="shared" si="50"/>
        <v>1</v>
      </c>
      <c r="R188" s="4" t="str">
        <f t="shared" si="51"/>
        <v>Không đạt</v>
      </c>
      <c r="S188" s="24"/>
      <c r="T188" s="129"/>
      <c r="U188" s="130" t="b">
        <f t="shared" si="52"/>
        <v>1</v>
      </c>
    </row>
    <row r="189" spans="1:21" s="130" customFormat="1" hidden="1" x14ac:dyDescent="0.25">
      <c r="A189" s="23" t="s">
        <v>171</v>
      </c>
      <c r="B189" s="2"/>
      <c r="C189" s="2" t="s">
        <v>270</v>
      </c>
      <c r="D189" s="4">
        <f t="shared" si="48"/>
        <v>7.93</v>
      </c>
      <c r="E189" s="125">
        <v>1.83</v>
      </c>
      <c r="F189" s="125">
        <v>6.1</v>
      </c>
      <c r="G189" s="126">
        <v>53.1</v>
      </c>
      <c r="H189" s="126">
        <v>90.24</v>
      </c>
      <c r="I189" s="4">
        <f t="shared" si="53"/>
        <v>1</v>
      </c>
      <c r="J189" s="4" t="str">
        <f t="shared" si="54"/>
        <v>Không đạt</v>
      </c>
      <c r="K189" s="24"/>
      <c r="L189" s="127">
        <f t="shared" si="49"/>
        <v>7.93</v>
      </c>
      <c r="M189" s="24">
        <v>1.83</v>
      </c>
      <c r="N189" s="24">
        <v>6.1</v>
      </c>
      <c r="O189" s="140">
        <v>30.92</v>
      </c>
      <c r="P189" s="128">
        <v>91.358024691358025</v>
      </c>
      <c r="Q189" s="4">
        <f t="shared" si="50"/>
        <v>1</v>
      </c>
      <c r="R189" s="4" t="str">
        <f t="shared" si="51"/>
        <v>Không đạt</v>
      </c>
      <c r="S189" s="24"/>
      <c r="T189" s="129"/>
      <c r="U189" s="130" t="b">
        <f t="shared" si="52"/>
        <v>1</v>
      </c>
    </row>
    <row r="190" spans="1:21" s="130" customFormat="1" hidden="1" x14ac:dyDescent="0.25">
      <c r="A190" s="23" t="s">
        <v>172</v>
      </c>
      <c r="B190" s="2"/>
      <c r="C190" s="2" t="s">
        <v>323</v>
      </c>
      <c r="D190" s="4">
        <f t="shared" si="48"/>
        <v>4.2300000000000004</v>
      </c>
      <c r="E190" s="125">
        <v>1.23</v>
      </c>
      <c r="F190" s="125">
        <v>3</v>
      </c>
      <c r="G190" s="126">
        <v>43.7</v>
      </c>
      <c r="H190" s="126">
        <v>91.36</v>
      </c>
      <c r="I190" s="4">
        <f t="shared" si="53"/>
        <v>1</v>
      </c>
      <c r="J190" s="4" t="str">
        <f t="shared" si="54"/>
        <v>Không đạt</v>
      </c>
      <c r="K190" s="24"/>
      <c r="L190" s="127">
        <f t="shared" si="49"/>
        <v>4.2300000000000004</v>
      </c>
      <c r="M190" s="24">
        <v>1.23</v>
      </c>
      <c r="N190" s="24">
        <v>3</v>
      </c>
      <c r="O190" s="140">
        <v>30</v>
      </c>
      <c r="P190" s="128">
        <v>95.402298850574709</v>
      </c>
      <c r="Q190" s="4">
        <f t="shared" si="50"/>
        <v>1</v>
      </c>
      <c r="R190" s="4" t="str">
        <f t="shared" si="51"/>
        <v>Không đạt</v>
      </c>
      <c r="S190" s="24"/>
      <c r="T190" s="129"/>
      <c r="U190" s="130" t="b">
        <f t="shared" si="52"/>
        <v>1</v>
      </c>
    </row>
    <row r="191" spans="1:21" s="138" customFormat="1" ht="45" x14ac:dyDescent="0.25">
      <c r="A191" s="131" t="s">
        <v>173</v>
      </c>
      <c r="B191" s="132"/>
      <c r="C191" s="132" t="s">
        <v>324</v>
      </c>
      <c r="D191" s="17">
        <f t="shared" si="48"/>
        <v>12.020000000000001</v>
      </c>
      <c r="E191" s="133">
        <v>1.72</v>
      </c>
      <c r="F191" s="133">
        <v>10.3</v>
      </c>
      <c r="G191" s="134">
        <v>41.6</v>
      </c>
      <c r="H191" s="134">
        <v>95.4</v>
      </c>
      <c r="I191" s="17">
        <f t="shared" si="53"/>
        <v>1</v>
      </c>
      <c r="J191" s="17" t="str">
        <f t="shared" si="54"/>
        <v>Không đạt</v>
      </c>
      <c r="K191" s="41"/>
      <c r="L191" s="135">
        <f t="shared" si="49"/>
        <v>12.020000000000001</v>
      </c>
      <c r="M191" s="41">
        <v>1.72</v>
      </c>
      <c r="N191" s="41">
        <v>10.3</v>
      </c>
      <c r="O191" s="141">
        <v>54.37</v>
      </c>
      <c r="P191" s="136">
        <v>88.343558282208591</v>
      </c>
      <c r="Q191" s="17">
        <f t="shared" si="50"/>
        <v>2</v>
      </c>
      <c r="R191" s="17" t="str">
        <f t="shared" si="51"/>
        <v>Đạt</v>
      </c>
      <c r="S191" s="41" t="s">
        <v>1209</v>
      </c>
      <c r="T191" s="137"/>
      <c r="U191" s="138" t="b">
        <f t="shared" si="52"/>
        <v>0</v>
      </c>
    </row>
    <row r="192" spans="1:21" s="130" customFormat="1" hidden="1" x14ac:dyDescent="0.25">
      <c r="A192" s="23" t="s">
        <v>174</v>
      </c>
      <c r="B192" s="2"/>
      <c r="C192" s="2" t="s">
        <v>325</v>
      </c>
      <c r="D192" s="4">
        <f t="shared" si="48"/>
        <v>15.94</v>
      </c>
      <c r="E192" s="125">
        <v>1.84</v>
      </c>
      <c r="F192" s="125">
        <v>14.1</v>
      </c>
      <c r="G192" s="126">
        <v>45.5</v>
      </c>
      <c r="H192" s="126">
        <v>88.34</v>
      </c>
      <c r="I192" s="4">
        <f t="shared" si="53"/>
        <v>2</v>
      </c>
      <c r="J192" s="4" t="str">
        <f t="shared" si="54"/>
        <v>Đạt</v>
      </c>
      <c r="K192" s="24"/>
      <c r="L192" s="127">
        <f t="shared" si="49"/>
        <v>15.94</v>
      </c>
      <c r="M192" s="24">
        <v>1.84</v>
      </c>
      <c r="N192" s="24">
        <v>14.1</v>
      </c>
      <c r="O192" s="140">
        <v>55.79</v>
      </c>
      <c r="P192" s="128">
        <v>88.709677419354833</v>
      </c>
      <c r="Q192" s="4">
        <f t="shared" si="50"/>
        <v>2</v>
      </c>
      <c r="R192" s="4" t="str">
        <f t="shared" si="51"/>
        <v>Đạt</v>
      </c>
      <c r="S192" s="24"/>
      <c r="T192" s="129"/>
      <c r="U192" s="130" t="b">
        <f t="shared" si="52"/>
        <v>1</v>
      </c>
    </row>
    <row r="193" spans="1:21" s="130" customFormat="1" ht="45" x14ac:dyDescent="0.25">
      <c r="A193" s="23" t="s">
        <v>175</v>
      </c>
      <c r="B193" s="2"/>
      <c r="C193" s="2" t="s">
        <v>326</v>
      </c>
      <c r="D193" s="4">
        <f t="shared" si="48"/>
        <v>9.11</v>
      </c>
      <c r="E193" s="125">
        <v>1.61</v>
      </c>
      <c r="F193" s="125">
        <v>7.5</v>
      </c>
      <c r="G193" s="126">
        <v>27.1</v>
      </c>
      <c r="H193" s="126">
        <v>88.71</v>
      </c>
      <c r="I193" s="4">
        <f t="shared" si="53"/>
        <v>2</v>
      </c>
      <c r="J193" s="4" t="str">
        <f t="shared" si="54"/>
        <v>Đạt</v>
      </c>
      <c r="K193" s="24"/>
      <c r="L193" s="127">
        <f t="shared" si="49"/>
        <v>9.11</v>
      </c>
      <c r="M193" s="24">
        <v>1.61</v>
      </c>
      <c r="N193" s="24">
        <v>7.5</v>
      </c>
      <c r="O193" s="140">
        <v>66.55</v>
      </c>
      <c r="P193" s="128">
        <v>96.551724137931032</v>
      </c>
      <c r="Q193" s="4">
        <f t="shared" si="50"/>
        <v>0</v>
      </c>
      <c r="R193" s="4" t="str">
        <f t="shared" si="51"/>
        <v>Không đạt</v>
      </c>
      <c r="S193" s="24" t="s">
        <v>1211</v>
      </c>
      <c r="T193" s="129"/>
      <c r="U193" s="130" t="b">
        <f t="shared" si="52"/>
        <v>0</v>
      </c>
    </row>
    <row r="194" spans="1:21" s="84" customFormat="1" hidden="1" x14ac:dyDescent="0.25">
      <c r="A194" s="9" t="s">
        <v>176</v>
      </c>
      <c r="B194" s="1"/>
      <c r="C194" s="1" t="s">
        <v>316</v>
      </c>
      <c r="D194" s="12">
        <f t="shared" si="48"/>
        <v>6.85</v>
      </c>
      <c r="E194" s="105">
        <v>1.1499999999999999</v>
      </c>
      <c r="F194" s="105">
        <v>5.7</v>
      </c>
      <c r="G194" s="82">
        <v>76.5</v>
      </c>
      <c r="H194" s="82">
        <v>96.55</v>
      </c>
      <c r="I194" s="12">
        <f t="shared" si="53"/>
        <v>0</v>
      </c>
      <c r="J194" s="12" t="str">
        <f t="shared" si="54"/>
        <v>Không đạt</v>
      </c>
      <c r="K194" s="10"/>
      <c r="L194" s="96">
        <f t="shared" si="49"/>
        <v>6.85</v>
      </c>
      <c r="M194" s="10">
        <v>1.1499999999999999</v>
      </c>
      <c r="N194" s="10">
        <v>5.7</v>
      </c>
      <c r="O194" s="82">
        <v>47.37</v>
      </c>
      <c r="P194" s="97">
        <v>90.625</v>
      </c>
      <c r="Q194" s="12">
        <f t="shared" si="50"/>
        <v>1</v>
      </c>
      <c r="R194" s="12" t="str">
        <f t="shared" si="51"/>
        <v>Không đạt</v>
      </c>
      <c r="S194" s="10"/>
      <c r="T194" s="95"/>
      <c r="U194" s="84" t="b">
        <f t="shared" si="52"/>
        <v>1</v>
      </c>
    </row>
    <row r="195" spans="1:21" s="100" customFormat="1" x14ac:dyDescent="0.25">
      <c r="A195" s="19" t="s">
        <v>457</v>
      </c>
      <c r="B195" s="20" t="s">
        <v>85</v>
      </c>
      <c r="C195" s="20"/>
      <c r="D195" s="22"/>
      <c r="E195" s="104"/>
      <c r="F195" s="104"/>
      <c r="G195" s="22"/>
      <c r="H195" s="22"/>
      <c r="I195" s="89"/>
      <c r="J195" s="89"/>
      <c r="K195" s="90">
        <f>COUNTIF(J196:J215,"Đạt")</f>
        <v>15</v>
      </c>
      <c r="L195" s="98"/>
      <c r="M195" s="90"/>
      <c r="N195" s="90"/>
      <c r="O195" s="22"/>
      <c r="P195" s="99"/>
      <c r="Q195" s="89"/>
      <c r="R195" s="89"/>
      <c r="S195" s="90" t="s">
        <v>1192</v>
      </c>
      <c r="U195" s="84"/>
    </row>
    <row r="196" spans="1:21" s="84" customFormat="1" hidden="1" x14ac:dyDescent="0.25">
      <c r="A196" s="9" t="s">
        <v>148</v>
      </c>
      <c r="B196" s="1"/>
      <c r="C196" s="1" t="s">
        <v>437</v>
      </c>
      <c r="D196" s="15">
        <f t="shared" ref="D196:D214" si="55">E196+F196</f>
        <v>8.8082901554404138</v>
      </c>
      <c r="E196" s="11">
        <v>4.1450777202072544</v>
      </c>
      <c r="F196" s="11">
        <v>4.6632124352331603</v>
      </c>
      <c r="G196" s="15">
        <v>90.625</v>
      </c>
      <c r="H196" s="15">
        <v>94.818652849740928</v>
      </c>
      <c r="I196" s="12">
        <f>SUM((IF(D196&gt;=16.24,1,0))+(IF(G196&lt;60,1,0))+(IF(H196&lt;90,1,0)))</f>
        <v>0</v>
      </c>
      <c r="J196" s="12" t="str">
        <f>IF(I196&gt;=2,"Đạt","Không đạt")</f>
        <v>Không đạt</v>
      </c>
      <c r="K196" s="10"/>
      <c r="L196" s="96">
        <f t="shared" ref="L196:L215" si="56">M196+N196</f>
        <v>9.2399999999999984</v>
      </c>
      <c r="M196" s="10">
        <v>4.3499999999999996</v>
      </c>
      <c r="N196" s="10">
        <v>4.8899999999999997</v>
      </c>
      <c r="O196" s="15">
        <v>90.625</v>
      </c>
      <c r="P196" s="97">
        <v>100</v>
      </c>
      <c r="Q196" s="12">
        <f t="shared" ref="Q196:Q215" si="57">SUM((IF(L196&gt;=16.24,1,0))+(IF(O196&lt;60,1,0))+(IF(P196&lt;90,1,0)))</f>
        <v>0</v>
      </c>
      <c r="R196" s="12" t="str">
        <f t="shared" ref="R196:R215" si="58">IF(Q196&gt;=2,"Đạt","Không đạt")</f>
        <v>Không đạt</v>
      </c>
      <c r="S196" s="10"/>
      <c r="T196" s="95"/>
    </row>
    <row r="197" spans="1:21" s="84" customFormat="1" hidden="1" x14ac:dyDescent="0.25">
      <c r="A197" s="9" t="s">
        <v>149</v>
      </c>
      <c r="B197" s="1"/>
      <c r="C197" s="1" t="s">
        <v>438</v>
      </c>
      <c r="D197" s="15">
        <f t="shared" si="55"/>
        <v>5.7971014492753623</v>
      </c>
      <c r="E197" s="11">
        <v>4.3478260869565215</v>
      </c>
      <c r="F197" s="11">
        <v>1.4492753623188406</v>
      </c>
      <c r="G197" s="15">
        <v>57</v>
      </c>
      <c r="H197" s="15">
        <v>89.130434782608688</v>
      </c>
      <c r="I197" s="12">
        <f t="shared" ref="I197:I215" si="59">SUM((IF(D197&gt;=16.24,1,0))+(IF(G197&lt;60,1,0))+(IF(H197&lt;90,1,0)))</f>
        <v>2</v>
      </c>
      <c r="J197" s="12" t="str">
        <f t="shared" ref="J197:J215" si="60">IF(I197&gt;=2,"Đạt","Không đạt")</f>
        <v>Đạt</v>
      </c>
      <c r="K197" s="10"/>
      <c r="L197" s="96">
        <f t="shared" si="56"/>
        <v>6.35</v>
      </c>
      <c r="M197" s="10">
        <v>4.76</v>
      </c>
      <c r="N197" s="10">
        <v>1.59</v>
      </c>
      <c r="O197" s="15">
        <v>57</v>
      </c>
      <c r="P197" s="97">
        <v>88.3</v>
      </c>
      <c r="Q197" s="12">
        <f t="shared" si="57"/>
        <v>2</v>
      </c>
      <c r="R197" s="12" t="str">
        <f t="shared" si="58"/>
        <v>Đạt</v>
      </c>
      <c r="S197" s="10"/>
      <c r="T197" s="95"/>
    </row>
    <row r="198" spans="1:21" s="84" customFormat="1" hidden="1" x14ac:dyDescent="0.25">
      <c r="A198" s="9" t="s">
        <v>150</v>
      </c>
      <c r="B198" s="1"/>
      <c r="C198" s="1" t="s">
        <v>439</v>
      </c>
      <c r="D198" s="15">
        <f t="shared" si="55"/>
        <v>5.9459459459459465</v>
      </c>
      <c r="E198" s="11">
        <v>2.1621621621621623</v>
      </c>
      <c r="F198" s="11">
        <v>3.7837837837837842</v>
      </c>
      <c r="G198" s="15">
        <v>59.46</v>
      </c>
      <c r="H198" s="15">
        <v>89.73</v>
      </c>
      <c r="I198" s="12">
        <f t="shared" si="59"/>
        <v>2</v>
      </c>
      <c r="J198" s="12" t="str">
        <f t="shared" si="60"/>
        <v>Đạt</v>
      </c>
      <c r="K198" s="10"/>
      <c r="L198" s="96">
        <f t="shared" si="56"/>
        <v>6.21</v>
      </c>
      <c r="M198" s="10">
        <v>2.2599999999999998</v>
      </c>
      <c r="N198" s="10">
        <v>3.95</v>
      </c>
      <c r="O198" s="15">
        <v>59.46</v>
      </c>
      <c r="P198" s="97">
        <v>89.7</v>
      </c>
      <c r="Q198" s="12">
        <f t="shared" si="57"/>
        <v>2</v>
      </c>
      <c r="R198" s="12" t="str">
        <f t="shared" si="58"/>
        <v>Đạt</v>
      </c>
      <c r="S198" s="10"/>
      <c r="T198" s="95"/>
    </row>
    <row r="199" spans="1:21" s="84" customFormat="1" hidden="1" x14ac:dyDescent="0.25">
      <c r="A199" s="9" t="s">
        <v>151</v>
      </c>
      <c r="B199" s="1"/>
      <c r="C199" s="1" t="s">
        <v>440</v>
      </c>
      <c r="D199" s="15">
        <f t="shared" si="55"/>
        <v>3.1413612565445024</v>
      </c>
      <c r="E199" s="11">
        <v>1.5706806282722512</v>
      </c>
      <c r="F199" s="11">
        <v>1.5706806282722512</v>
      </c>
      <c r="G199" s="15">
        <v>88.235294117647058</v>
      </c>
      <c r="H199" s="15">
        <v>100</v>
      </c>
      <c r="I199" s="12">
        <f t="shared" si="59"/>
        <v>0</v>
      </c>
      <c r="J199" s="12" t="str">
        <f t="shared" si="60"/>
        <v>Không đạt</v>
      </c>
      <c r="K199" s="10"/>
      <c r="L199" s="96">
        <f t="shared" si="56"/>
        <v>3.38</v>
      </c>
      <c r="M199" s="10">
        <v>1.69</v>
      </c>
      <c r="N199" s="10">
        <v>1.69</v>
      </c>
      <c r="O199" s="15">
        <v>88.235294117647058</v>
      </c>
      <c r="P199" s="97">
        <v>91.3</v>
      </c>
      <c r="Q199" s="12">
        <f t="shared" si="57"/>
        <v>0</v>
      </c>
      <c r="R199" s="12" t="str">
        <f t="shared" si="58"/>
        <v>Không đạt</v>
      </c>
      <c r="S199" s="10"/>
      <c r="T199" s="95"/>
    </row>
    <row r="200" spans="1:21" s="84" customFormat="1" ht="30" x14ac:dyDescent="0.25">
      <c r="A200" s="9" t="s">
        <v>152</v>
      </c>
      <c r="B200" s="1"/>
      <c r="C200" s="1" t="s">
        <v>441</v>
      </c>
      <c r="D200" s="15">
        <f t="shared" si="55"/>
        <v>5.1428571428571423</v>
      </c>
      <c r="E200" s="11">
        <v>2.2857142857142856</v>
      </c>
      <c r="F200" s="11">
        <v>2.8571428571428572</v>
      </c>
      <c r="G200" s="15">
        <v>50.14</v>
      </c>
      <c r="H200" s="15">
        <v>85.142857142857139</v>
      </c>
      <c r="I200" s="12">
        <f t="shared" si="59"/>
        <v>2</v>
      </c>
      <c r="J200" s="12" t="str">
        <f t="shared" si="60"/>
        <v>Đạt</v>
      </c>
      <c r="K200" s="10"/>
      <c r="L200" s="96">
        <f t="shared" si="56"/>
        <v>5.52</v>
      </c>
      <c r="M200" s="10">
        <v>2.4500000000000002</v>
      </c>
      <c r="N200" s="10">
        <v>3.07</v>
      </c>
      <c r="O200" s="15">
        <v>50.14</v>
      </c>
      <c r="P200" s="97">
        <v>92.6</v>
      </c>
      <c r="Q200" s="12">
        <f t="shared" si="57"/>
        <v>1</v>
      </c>
      <c r="R200" s="12" t="str">
        <f t="shared" si="58"/>
        <v>Không đạt</v>
      </c>
      <c r="S200" s="10" t="s">
        <v>1185</v>
      </c>
      <c r="T200" s="95"/>
    </row>
    <row r="201" spans="1:21" s="84" customFormat="1" hidden="1" x14ac:dyDescent="0.25">
      <c r="A201" s="9" t="s">
        <v>153</v>
      </c>
      <c r="B201" s="1"/>
      <c r="C201" s="1" t="s">
        <v>442</v>
      </c>
      <c r="D201" s="15">
        <f t="shared" si="55"/>
        <v>4.4052863436123353</v>
      </c>
      <c r="E201" s="11">
        <v>1.3215859030837005</v>
      </c>
      <c r="F201" s="11">
        <v>3.0837004405286343</v>
      </c>
      <c r="G201" s="15">
        <v>59.183673469387749</v>
      </c>
      <c r="H201" s="15">
        <v>73.568281938325995</v>
      </c>
      <c r="I201" s="12">
        <f t="shared" si="59"/>
        <v>2</v>
      </c>
      <c r="J201" s="12" t="str">
        <f t="shared" si="60"/>
        <v>Đạt</v>
      </c>
      <c r="K201" s="10"/>
      <c r="L201" s="96">
        <f t="shared" si="56"/>
        <v>5.1400000000000006</v>
      </c>
      <c r="M201" s="10">
        <v>1.4</v>
      </c>
      <c r="N201" s="10">
        <v>3.74</v>
      </c>
      <c r="O201" s="15">
        <v>59.183673469387749</v>
      </c>
      <c r="P201" s="97">
        <v>89.3</v>
      </c>
      <c r="Q201" s="12">
        <f t="shared" si="57"/>
        <v>2</v>
      </c>
      <c r="R201" s="12" t="str">
        <f t="shared" si="58"/>
        <v>Đạt</v>
      </c>
      <c r="S201" s="10"/>
      <c r="T201" s="95"/>
    </row>
    <row r="202" spans="1:21" s="84" customFormat="1" ht="30" x14ac:dyDescent="0.25">
      <c r="A202" s="9" t="s">
        <v>154</v>
      </c>
      <c r="B202" s="1"/>
      <c r="C202" s="1" t="s">
        <v>443</v>
      </c>
      <c r="D202" s="15">
        <f t="shared" si="55"/>
        <v>12.558139534883722</v>
      </c>
      <c r="E202" s="11">
        <v>3.2558139534883721</v>
      </c>
      <c r="F202" s="11">
        <v>9.3023255813953494</v>
      </c>
      <c r="G202" s="15">
        <v>47.368421052631582</v>
      </c>
      <c r="H202" s="15">
        <v>84.651162790697668</v>
      </c>
      <c r="I202" s="12">
        <f t="shared" si="59"/>
        <v>2</v>
      </c>
      <c r="J202" s="12" t="str">
        <f t="shared" si="60"/>
        <v>Đạt</v>
      </c>
      <c r="K202" s="10"/>
      <c r="L202" s="96">
        <f t="shared" si="56"/>
        <v>13.43</v>
      </c>
      <c r="M202" s="10">
        <v>3.48</v>
      </c>
      <c r="N202" s="10">
        <v>9.9499999999999993</v>
      </c>
      <c r="O202" s="15">
        <v>47.368421052631582</v>
      </c>
      <c r="P202" s="97">
        <v>97</v>
      </c>
      <c r="Q202" s="12">
        <f t="shared" si="57"/>
        <v>1</v>
      </c>
      <c r="R202" s="12" t="str">
        <f t="shared" si="58"/>
        <v>Không đạt</v>
      </c>
      <c r="S202" s="10" t="s">
        <v>1185</v>
      </c>
      <c r="T202" s="95"/>
    </row>
    <row r="203" spans="1:21" s="84" customFormat="1" hidden="1" x14ac:dyDescent="0.25">
      <c r="A203" s="9" t="s">
        <v>155</v>
      </c>
      <c r="B203" s="1"/>
      <c r="C203" s="1" t="s">
        <v>444</v>
      </c>
      <c r="D203" s="15">
        <f t="shared" si="55"/>
        <v>6.2222222222222223</v>
      </c>
      <c r="E203" s="11">
        <v>1.7777777777777777</v>
      </c>
      <c r="F203" s="11">
        <v>4.4444444444444446</v>
      </c>
      <c r="G203" s="15">
        <v>51.388888888888893</v>
      </c>
      <c r="H203" s="15">
        <v>77.777777777777771</v>
      </c>
      <c r="I203" s="12">
        <f t="shared" si="59"/>
        <v>2</v>
      </c>
      <c r="J203" s="12" t="str">
        <f t="shared" si="60"/>
        <v>Đạt</v>
      </c>
      <c r="K203" s="10"/>
      <c r="L203" s="96">
        <f t="shared" si="56"/>
        <v>6.57</v>
      </c>
      <c r="M203" s="10">
        <v>1.88</v>
      </c>
      <c r="N203" s="10">
        <v>4.6900000000000004</v>
      </c>
      <c r="O203" s="15">
        <v>51.388888888888893</v>
      </c>
      <c r="P203" s="97">
        <v>77</v>
      </c>
      <c r="Q203" s="12">
        <f t="shared" si="57"/>
        <v>2</v>
      </c>
      <c r="R203" s="12" t="str">
        <f t="shared" si="58"/>
        <v>Đạt</v>
      </c>
      <c r="S203" s="10"/>
      <c r="T203" s="95"/>
    </row>
    <row r="204" spans="1:21" s="84" customFormat="1" ht="30" x14ac:dyDescent="0.25">
      <c r="A204" s="9" t="s">
        <v>156</v>
      </c>
      <c r="B204" s="1"/>
      <c r="C204" s="1" t="s">
        <v>445</v>
      </c>
      <c r="D204" s="15">
        <f t="shared" si="55"/>
        <v>2.8571428571428568</v>
      </c>
      <c r="E204" s="11">
        <v>2.2857142857142856</v>
      </c>
      <c r="F204" s="11">
        <v>0.5714285714285714</v>
      </c>
      <c r="G204" s="15">
        <v>59.21</v>
      </c>
      <c r="H204" s="15">
        <v>89.71</v>
      </c>
      <c r="I204" s="12">
        <f t="shared" si="59"/>
        <v>2</v>
      </c>
      <c r="J204" s="12" t="str">
        <f t="shared" si="60"/>
        <v>Đạt</v>
      </c>
      <c r="K204" s="10"/>
      <c r="L204" s="96">
        <f t="shared" si="56"/>
        <v>3.06</v>
      </c>
      <c r="M204" s="10">
        <v>2.4500000000000002</v>
      </c>
      <c r="N204" s="10">
        <v>0.61</v>
      </c>
      <c r="O204" s="15">
        <v>59.21</v>
      </c>
      <c r="P204" s="97">
        <v>97.5</v>
      </c>
      <c r="Q204" s="12">
        <f t="shared" si="57"/>
        <v>1</v>
      </c>
      <c r="R204" s="12" t="str">
        <f t="shared" si="58"/>
        <v>Không đạt</v>
      </c>
      <c r="S204" s="10" t="s">
        <v>1185</v>
      </c>
      <c r="T204" s="95"/>
    </row>
    <row r="205" spans="1:21" s="84" customFormat="1" hidden="1" x14ac:dyDescent="0.25">
      <c r="A205" s="9" t="s">
        <v>157</v>
      </c>
      <c r="B205" s="1"/>
      <c r="C205" s="1" t="s">
        <v>446</v>
      </c>
      <c r="D205" s="15">
        <f t="shared" si="55"/>
        <v>4.6874999999999991</v>
      </c>
      <c r="E205" s="11">
        <v>4.1666666666666661</v>
      </c>
      <c r="F205" s="11">
        <v>0.52083333333333326</v>
      </c>
      <c r="G205" s="15">
        <v>55.45</v>
      </c>
      <c r="H205" s="15">
        <v>81.77</v>
      </c>
      <c r="I205" s="12">
        <f t="shared" si="59"/>
        <v>2</v>
      </c>
      <c r="J205" s="12" t="str">
        <f t="shared" si="60"/>
        <v>Đạt</v>
      </c>
      <c r="K205" s="10"/>
      <c r="L205" s="96">
        <f t="shared" si="56"/>
        <v>5.3</v>
      </c>
      <c r="M205" s="10">
        <v>4.71</v>
      </c>
      <c r="N205" s="10">
        <v>0.59</v>
      </c>
      <c r="O205" s="15">
        <v>55.45</v>
      </c>
      <c r="P205" s="97">
        <v>86.2</v>
      </c>
      <c r="Q205" s="12">
        <f t="shared" si="57"/>
        <v>2</v>
      </c>
      <c r="R205" s="12" t="str">
        <f t="shared" si="58"/>
        <v>Đạt</v>
      </c>
      <c r="S205" s="10"/>
      <c r="T205" s="95"/>
    </row>
    <row r="206" spans="1:21" s="84" customFormat="1" hidden="1" x14ac:dyDescent="0.25">
      <c r="A206" s="9" t="s">
        <v>158</v>
      </c>
      <c r="B206" s="1"/>
      <c r="C206" s="1" t="s">
        <v>447</v>
      </c>
      <c r="D206" s="15">
        <f t="shared" si="55"/>
        <v>13.953488372093023</v>
      </c>
      <c r="E206" s="11">
        <v>7.5581395348837201</v>
      </c>
      <c r="F206" s="11">
        <v>6.395348837209303</v>
      </c>
      <c r="G206" s="15">
        <v>58.571428571428577</v>
      </c>
      <c r="H206" s="15">
        <v>65.697674418604649</v>
      </c>
      <c r="I206" s="12">
        <f t="shared" si="59"/>
        <v>2</v>
      </c>
      <c r="J206" s="12" t="str">
        <f t="shared" si="60"/>
        <v>Đạt</v>
      </c>
      <c r="K206" s="10"/>
      <c r="L206" s="96">
        <f t="shared" si="56"/>
        <v>14.920000000000002</v>
      </c>
      <c r="M206" s="10">
        <v>8.23</v>
      </c>
      <c r="N206" s="10">
        <v>6.69</v>
      </c>
      <c r="O206" s="15">
        <v>58.571428571428577</v>
      </c>
      <c r="P206" s="97">
        <v>87.7</v>
      </c>
      <c r="Q206" s="12">
        <f t="shared" si="57"/>
        <v>2</v>
      </c>
      <c r="R206" s="12" t="str">
        <f t="shared" si="58"/>
        <v>Đạt</v>
      </c>
      <c r="S206" s="10"/>
      <c r="T206" s="95"/>
    </row>
    <row r="207" spans="1:21" s="84" customFormat="1" hidden="1" x14ac:dyDescent="0.25">
      <c r="A207" s="9" t="s">
        <v>159</v>
      </c>
      <c r="B207" s="1"/>
      <c r="C207" s="1" t="s">
        <v>448</v>
      </c>
      <c r="D207" s="15">
        <f t="shared" si="55"/>
        <v>18.620689655172413</v>
      </c>
      <c r="E207" s="11">
        <v>11.03448275862069</v>
      </c>
      <c r="F207" s="11">
        <v>7.5862068965517242</v>
      </c>
      <c r="G207" s="15">
        <v>65.116279069767444</v>
      </c>
      <c r="H207" s="15">
        <v>72.413793103448285</v>
      </c>
      <c r="I207" s="12">
        <f t="shared" si="59"/>
        <v>2</v>
      </c>
      <c r="J207" s="12" t="str">
        <f t="shared" si="60"/>
        <v>Đạt</v>
      </c>
      <c r="K207" s="10"/>
      <c r="L207" s="96">
        <f t="shared" si="56"/>
        <v>19.420000000000002</v>
      </c>
      <c r="M207" s="10">
        <v>11.51</v>
      </c>
      <c r="N207" s="10">
        <v>7.91</v>
      </c>
      <c r="O207" s="15">
        <v>65.116279069767444</v>
      </c>
      <c r="P207" s="97">
        <v>71.400000000000006</v>
      </c>
      <c r="Q207" s="12">
        <f t="shared" si="57"/>
        <v>2</v>
      </c>
      <c r="R207" s="12" t="str">
        <f t="shared" si="58"/>
        <v>Đạt</v>
      </c>
      <c r="S207" s="10"/>
      <c r="T207" s="95"/>
    </row>
    <row r="208" spans="1:21" s="84" customFormat="1" hidden="1" x14ac:dyDescent="0.25">
      <c r="A208" s="9" t="s">
        <v>160</v>
      </c>
      <c r="B208" s="1"/>
      <c r="C208" s="1" t="s">
        <v>449</v>
      </c>
      <c r="D208" s="15">
        <f t="shared" si="55"/>
        <v>12.135922330097088</v>
      </c>
      <c r="E208" s="11">
        <v>12.135922330097088</v>
      </c>
      <c r="F208" s="11">
        <v>0</v>
      </c>
      <c r="G208" s="15">
        <v>58.98491083676268</v>
      </c>
      <c r="H208" s="15">
        <v>68.446601941747574</v>
      </c>
      <c r="I208" s="12">
        <f t="shared" si="59"/>
        <v>2</v>
      </c>
      <c r="J208" s="12" t="str">
        <f t="shared" si="60"/>
        <v>Đạt</v>
      </c>
      <c r="K208" s="10"/>
      <c r="L208" s="96">
        <f t="shared" si="56"/>
        <v>13.3</v>
      </c>
      <c r="M208" s="10">
        <v>13.3</v>
      </c>
      <c r="N208" s="10">
        <v>0</v>
      </c>
      <c r="O208" s="15">
        <v>58.98491083676268</v>
      </c>
      <c r="P208" s="97">
        <v>66.5</v>
      </c>
      <c r="Q208" s="12">
        <f t="shared" si="57"/>
        <v>2</v>
      </c>
      <c r="R208" s="12" t="str">
        <f t="shared" si="58"/>
        <v>Đạt</v>
      </c>
      <c r="S208" s="10"/>
      <c r="T208" s="95"/>
    </row>
    <row r="209" spans="1:21" s="84" customFormat="1" ht="30" x14ac:dyDescent="0.25">
      <c r="A209" s="9" t="s">
        <v>161</v>
      </c>
      <c r="B209" s="1"/>
      <c r="C209" s="1" t="s">
        <v>450</v>
      </c>
      <c r="D209" s="15">
        <f t="shared" si="55"/>
        <v>11.475409836065573</v>
      </c>
      <c r="E209" s="11">
        <v>8.1967213114754092</v>
      </c>
      <c r="F209" s="11">
        <v>3.278688524590164</v>
      </c>
      <c r="G209" s="15">
        <v>47.058823529411761</v>
      </c>
      <c r="H209" s="15">
        <v>85.792349726775953</v>
      </c>
      <c r="I209" s="12">
        <f t="shared" si="59"/>
        <v>2</v>
      </c>
      <c r="J209" s="12" t="str">
        <f t="shared" si="60"/>
        <v>Đạt</v>
      </c>
      <c r="K209" s="10"/>
      <c r="L209" s="96">
        <f t="shared" si="56"/>
        <v>12.35</v>
      </c>
      <c r="M209" s="10">
        <v>8.82</v>
      </c>
      <c r="N209" s="10">
        <v>3.53</v>
      </c>
      <c r="O209" s="15">
        <v>47.058823529411761</v>
      </c>
      <c r="P209" s="97">
        <v>93</v>
      </c>
      <c r="Q209" s="12">
        <f t="shared" si="57"/>
        <v>1</v>
      </c>
      <c r="R209" s="12" t="str">
        <f t="shared" si="58"/>
        <v>Không đạt</v>
      </c>
      <c r="S209" s="10" t="s">
        <v>1185</v>
      </c>
      <c r="T209" s="95"/>
    </row>
    <row r="210" spans="1:21" s="84" customFormat="1" hidden="1" x14ac:dyDescent="0.25">
      <c r="A210" s="9" t="s">
        <v>162</v>
      </c>
      <c r="B210" s="1"/>
      <c r="C210" s="1" t="s">
        <v>451</v>
      </c>
      <c r="D210" s="15">
        <f t="shared" si="55"/>
        <v>14.736842105263158</v>
      </c>
      <c r="E210" s="11">
        <v>5.2631578947368416</v>
      </c>
      <c r="F210" s="11">
        <v>9.4736842105263168</v>
      </c>
      <c r="G210" s="15">
        <v>57.534246575342465</v>
      </c>
      <c r="H210" s="15">
        <v>77.89473684210526</v>
      </c>
      <c r="I210" s="12">
        <f t="shared" si="59"/>
        <v>2</v>
      </c>
      <c r="J210" s="12" t="str">
        <f t="shared" si="60"/>
        <v>Đạt</v>
      </c>
      <c r="K210" s="10"/>
      <c r="L210" s="96">
        <f t="shared" si="56"/>
        <v>17.450000000000003</v>
      </c>
      <c r="M210" s="10">
        <v>6.98</v>
      </c>
      <c r="N210" s="10">
        <v>10.47</v>
      </c>
      <c r="O210" s="15">
        <v>57.534246575342465</v>
      </c>
      <c r="P210" s="97">
        <v>93.1</v>
      </c>
      <c r="Q210" s="12">
        <f t="shared" si="57"/>
        <v>2</v>
      </c>
      <c r="R210" s="12" t="str">
        <f t="shared" si="58"/>
        <v>Đạt</v>
      </c>
      <c r="S210" s="10"/>
      <c r="T210" s="95"/>
    </row>
    <row r="211" spans="1:21" s="84" customFormat="1" hidden="1" x14ac:dyDescent="0.25">
      <c r="A211" s="9" t="s">
        <v>163</v>
      </c>
      <c r="B211" s="1"/>
      <c r="C211" s="1" t="s">
        <v>452</v>
      </c>
      <c r="D211" s="15">
        <f t="shared" si="55"/>
        <v>2.8901734104046239</v>
      </c>
      <c r="E211" s="11">
        <v>1.7341040462427744</v>
      </c>
      <c r="F211" s="11">
        <v>1.1560693641618496</v>
      </c>
      <c r="G211" s="15">
        <v>86.21</v>
      </c>
      <c r="H211" s="15">
        <v>95.375722543352595</v>
      </c>
      <c r="I211" s="12">
        <f t="shared" si="59"/>
        <v>0</v>
      </c>
      <c r="J211" s="12" t="str">
        <f t="shared" si="60"/>
        <v>Không đạt</v>
      </c>
      <c r="K211" s="10"/>
      <c r="L211" s="96">
        <f t="shared" si="56"/>
        <v>2.8499999999999996</v>
      </c>
      <c r="M211" s="10">
        <v>1.71</v>
      </c>
      <c r="N211" s="10">
        <v>1.1399999999999999</v>
      </c>
      <c r="O211" s="15">
        <v>86.21</v>
      </c>
      <c r="P211" s="97">
        <v>97.1</v>
      </c>
      <c r="Q211" s="12">
        <f t="shared" si="57"/>
        <v>0</v>
      </c>
      <c r="R211" s="12" t="str">
        <f t="shared" si="58"/>
        <v>Không đạt</v>
      </c>
      <c r="S211" s="10"/>
      <c r="T211" s="95"/>
    </row>
    <row r="212" spans="1:21" s="84" customFormat="1" hidden="1" x14ac:dyDescent="0.25">
      <c r="A212" s="9" t="s">
        <v>164</v>
      </c>
      <c r="B212" s="1"/>
      <c r="C212" s="1" t="s">
        <v>453</v>
      </c>
      <c r="D212" s="15">
        <f t="shared" si="55"/>
        <v>2.7586206896551726</v>
      </c>
      <c r="E212" s="11">
        <v>2.0689655172413794</v>
      </c>
      <c r="F212" s="11">
        <v>0.68965517241379315</v>
      </c>
      <c r="G212" s="15">
        <v>58.928571428571431</v>
      </c>
      <c r="H212" s="15">
        <v>89.65517241379311</v>
      </c>
      <c r="I212" s="12">
        <f t="shared" si="59"/>
        <v>2</v>
      </c>
      <c r="J212" s="12" t="str">
        <f t="shared" si="60"/>
        <v>Đạt</v>
      </c>
      <c r="K212" s="10"/>
      <c r="L212" s="96">
        <f t="shared" si="56"/>
        <v>2.67</v>
      </c>
      <c r="M212" s="10">
        <v>2</v>
      </c>
      <c r="N212" s="10">
        <v>0.67</v>
      </c>
      <c r="O212" s="15">
        <v>58.928571428571431</v>
      </c>
      <c r="P212" s="97">
        <v>89.7</v>
      </c>
      <c r="Q212" s="12">
        <f t="shared" si="57"/>
        <v>2</v>
      </c>
      <c r="R212" s="12" t="str">
        <f t="shared" si="58"/>
        <v>Đạt</v>
      </c>
      <c r="S212" s="10"/>
      <c r="T212" s="95"/>
    </row>
    <row r="213" spans="1:21" s="84" customFormat="1" hidden="1" x14ac:dyDescent="0.25">
      <c r="A213" s="9" t="s">
        <v>165</v>
      </c>
      <c r="B213" s="1"/>
      <c r="C213" s="1" t="s">
        <v>454</v>
      </c>
      <c r="D213" s="15">
        <f t="shared" si="55"/>
        <v>2.547770700636943</v>
      </c>
      <c r="E213" s="11">
        <v>1.910828025477707</v>
      </c>
      <c r="F213" s="11">
        <v>0.63694267515923575</v>
      </c>
      <c r="G213" s="15">
        <v>95.774647887323937</v>
      </c>
      <c r="H213" s="15">
        <v>93.630573248407643</v>
      </c>
      <c r="I213" s="12">
        <f t="shared" si="59"/>
        <v>0</v>
      </c>
      <c r="J213" s="12" t="str">
        <f t="shared" si="60"/>
        <v>Không đạt</v>
      </c>
      <c r="K213" s="10"/>
      <c r="L213" s="96">
        <f t="shared" si="56"/>
        <v>2.41</v>
      </c>
      <c r="M213" s="10">
        <v>1.81</v>
      </c>
      <c r="N213" s="10">
        <v>0.6</v>
      </c>
      <c r="O213" s="15">
        <v>95.774647887323937</v>
      </c>
      <c r="P213" s="97">
        <v>94</v>
      </c>
      <c r="Q213" s="12">
        <f t="shared" si="57"/>
        <v>0</v>
      </c>
      <c r="R213" s="12" t="str">
        <f t="shared" si="58"/>
        <v>Không đạt</v>
      </c>
      <c r="S213" s="10"/>
      <c r="T213" s="95"/>
    </row>
    <row r="214" spans="1:21" s="84" customFormat="1" hidden="1" x14ac:dyDescent="0.25">
      <c r="A214" s="9" t="s">
        <v>166</v>
      </c>
      <c r="B214" s="1"/>
      <c r="C214" s="1" t="s">
        <v>455</v>
      </c>
      <c r="D214" s="15">
        <f t="shared" si="55"/>
        <v>1.2658227848101267</v>
      </c>
      <c r="E214" s="11">
        <v>1.2658227848101267</v>
      </c>
      <c r="F214" s="11">
        <v>0</v>
      </c>
      <c r="G214" s="15">
        <v>88.571428571428569</v>
      </c>
      <c r="H214" s="15">
        <v>91.77215189873418</v>
      </c>
      <c r="I214" s="12">
        <f t="shared" si="59"/>
        <v>0</v>
      </c>
      <c r="J214" s="12" t="str">
        <f t="shared" si="60"/>
        <v>Không đạt</v>
      </c>
      <c r="K214" s="10"/>
      <c r="L214" s="96">
        <f t="shared" si="56"/>
        <v>1.21</v>
      </c>
      <c r="M214" s="10">
        <v>1.21</v>
      </c>
      <c r="N214" s="10">
        <v>0</v>
      </c>
      <c r="O214" s="15">
        <v>88.571428571428569</v>
      </c>
      <c r="P214" s="97">
        <v>100</v>
      </c>
      <c r="Q214" s="12">
        <f t="shared" si="57"/>
        <v>0</v>
      </c>
      <c r="R214" s="12" t="str">
        <f t="shared" si="58"/>
        <v>Không đạt</v>
      </c>
      <c r="S214" s="10"/>
      <c r="T214" s="95"/>
    </row>
    <row r="215" spans="1:21" s="84" customFormat="1" hidden="1" x14ac:dyDescent="0.25">
      <c r="A215" s="9" t="s">
        <v>167</v>
      </c>
      <c r="B215" s="1"/>
      <c r="C215" s="1" t="s">
        <v>456</v>
      </c>
      <c r="D215" s="15">
        <f>E215+F215</f>
        <v>2.5510204081632653</v>
      </c>
      <c r="E215" s="11">
        <v>1.5306122448979591</v>
      </c>
      <c r="F215" s="11">
        <v>1.0204081632653061</v>
      </c>
      <c r="G215" s="15">
        <v>59.18</v>
      </c>
      <c r="H215" s="15">
        <v>84.693877551020407</v>
      </c>
      <c r="I215" s="12">
        <f t="shared" si="59"/>
        <v>2</v>
      </c>
      <c r="J215" s="12" t="str">
        <f t="shared" si="60"/>
        <v>Đạt</v>
      </c>
      <c r="K215" s="10"/>
      <c r="L215" s="96">
        <f t="shared" si="56"/>
        <v>2.67</v>
      </c>
      <c r="M215" s="10">
        <v>1.6</v>
      </c>
      <c r="N215" s="10">
        <v>1.07</v>
      </c>
      <c r="O215" s="15">
        <v>59.18</v>
      </c>
      <c r="P215" s="97">
        <v>83.1</v>
      </c>
      <c r="Q215" s="12">
        <f t="shared" si="57"/>
        <v>2</v>
      </c>
      <c r="R215" s="12" t="str">
        <f t="shared" si="58"/>
        <v>Đạt</v>
      </c>
      <c r="S215" s="10"/>
      <c r="T215" s="95"/>
    </row>
    <row r="216" spans="1:21" s="100" customFormat="1" x14ac:dyDescent="0.25">
      <c r="A216" s="19" t="s">
        <v>964</v>
      </c>
      <c r="B216" s="20" t="s">
        <v>139</v>
      </c>
      <c r="C216" s="20"/>
      <c r="D216" s="22"/>
      <c r="E216" s="104"/>
      <c r="F216" s="104"/>
      <c r="G216" s="22"/>
      <c r="H216" s="22"/>
      <c r="I216" s="89"/>
      <c r="J216" s="89"/>
      <c r="K216" s="90">
        <f>COUNTIF(J217:J236,"Đạt")</f>
        <v>20</v>
      </c>
      <c r="L216" s="98"/>
      <c r="M216" s="21"/>
      <c r="N216" s="21"/>
      <c r="O216" s="22"/>
      <c r="P216" s="99"/>
      <c r="Q216" s="89"/>
      <c r="R216" s="89"/>
      <c r="S216" s="90" t="s">
        <v>1201</v>
      </c>
      <c r="U216" s="84"/>
    </row>
    <row r="217" spans="1:21" s="84" customFormat="1" hidden="1" x14ac:dyDescent="0.25">
      <c r="A217" s="9" t="s">
        <v>148</v>
      </c>
      <c r="B217" s="1"/>
      <c r="C217" s="1" t="s">
        <v>965</v>
      </c>
      <c r="D217" s="12">
        <f t="shared" ref="D217:D235" si="61">E217+F217</f>
        <v>48.333333333333329</v>
      </c>
      <c r="E217" s="83">
        <v>28.333333333333332</v>
      </c>
      <c r="F217" s="83">
        <v>20</v>
      </c>
      <c r="G217" s="12">
        <v>50</v>
      </c>
      <c r="H217" s="12">
        <v>75</v>
      </c>
      <c r="I217" s="12">
        <f t="shared" ref="I217:I236" si="62">SUM((IF(D217&gt;=16.24,1,0))+(IF(G217&lt;60,1,0))+(IF(H217&lt;90,1,0)))</f>
        <v>3</v>
      </c>
      <c r="J217" s="12" t="str">
        <f t="shared" ref="J217:J236" si="63">IF(I217&gt;=2,"Đạt","Không đạt")</f>
        <v>Đạt</v>
      </c>
      <c r="K217" s="10"/>
      <c r="L217" s="96">
        <f t="shared" ref="L217:L236" si="64">M217+N217</f>
        <v>48.33</v>
      </c>
      <c r="M217" s="10">
        <v>28.33</v>
      </c>
      <c r="N217" s="10">
        <v>20</v>
      </c>
      <c r="O217" s="12">
        <v>50</v>
      </c>
      <c r="P217" s="97">
        <v>86.7</v>
      </c>
      <c r="Q217" s="12">
        <f t="shared" ref="Q217:Q236" si="65">SUM((IF(L217&gt;=16.24,1,0))+(IF(O217&lt;60,1,0))+(IF(P217&lt;90,1,0)))</f>
        <v>3</v>
      </c>
      <c r="R217" s="12" t="str">
        <f t="shared" ref="R217:R236" si="66">IF(Q217&gt;=2,"Đạt","Không đạt")</f>
        <v>Đạt</v>
      </c>
      <c r="S217" s="10"/>
      <c r="T217" s="95"/>
    </row>
    <row r="218" spans="1:21" s="84" customFormat="1" ht="30" hidden="1" x14ac:dyDescent="0.25">
      <c r="A218" s="9" t="s">
        <v>149</v>
      </c>
      <c r="B218" s="1"/>
      <c r="C218" s="1" t="s">
        <v>966</v>
      </c>
      <c r="D218" s="12">
        <f t="shared" si="61"/>
        <v>76.92307692307692</v>
      </c>
      <c r="E218" s="83">
        <v>44.230769230769226</v>
      </c>
      <c r="F218" s="83">
        <v>32.692307692307693</v>
      </c>
      <c r="G218" s="12">
        <v>80</v>
      </c>
      <c r="H218" s="12">
        <v>70</v>
      </c>
      <c r="I218" s="12">
        <f t="shared" si="62"/>
        <v>2</v>
      </c>
      <c r="J218" s="12" t="str">
        <f t="shared" si="63"/>
        <v>Đạt</v>
      </c>
      <c r="K218" s="10"/>
      <c r="L218" s="96">
        <f t="shared" si="64"/>
        <v>76.919999999999987</v>
      </c>
      <c r="M218" s="10">
        <v>44.23</v>
      </c>
      <c r="N218" s="10">
        <v>32.69</v>
      </c>
      <c r="O218" s="12">
        <v>80</v>
      </c>
      <c r="P218" s="97">
        <v>82.7</v>
      </c>
      <c r="Q218" s="12">
        <f t="shared" si="65"/>
        <v>2</v>
      </c>
      <c r="R218" s="12" t="str">
        <f t="shared" si="66"/>
        <v>Đạt</v>
      </c>
      <c r="S218" s="10"/>
      <c r="T218" s="95"/>
    </row>
    <row r="219" spans="1:21" s="84" customFormat="1" ht="30" x14ac:dyDescent="0.25">
      <c r="A219" s="9" t="s">
        <v>150</v>
      </c>
      <c r="B219" s="1"/>
      <c r="C219" s="1" t="s">
        <v>967</v>
      </c>
      <c r="D219" s="12">
        <f t="shared" si="61"/>
        <v>79.411764705882348</v>
      </c>
      <c r="E219" s="83">
        <v>54.901960784313729</v>
      </c>
      <c r="F219" s="83">
        <v>24.509803921568626</v>
      </c>
      <c r="G219" s="12">
        <v>65</v>
      </c>
      <c r="H219" s="12">
        <v>70</v>
      </c>
      <c r="I219" s="12">
        <f t="shared" si="62"/>
        <v>2</v>
      </c>
      <c r="J219" s="12" t="str">
        <f t="shared" si="63"/>
        <v>Đạt</v>
      </c>
      <c r="K219" s="10"/>
      <c r="L219" s="96">
        <f t="shared" si="64"/>
        <v>79.41</v>
      </c>
      <c r="M219" s="10">
        <v>54.9</v>
      </c>
      <c r="N219" s="10">
        <v>24.51</v>
      </c>
      <c r="O219" s="12">
        <v>65</v>
      </c>
      <c r="P219" s="97">
        <v>90.2</v>
      </c>
      <c r="Q219" s="12">
        <f t="shared" si="65"/>
        <v>1</v>
      </c>
      <c r="R219" s="12" t="str">
        <f t="shared" si="66"/>
        <v>Không đạt</v>
      </c>
      <c r="S219" s="10" t="s">
        <v>1185</v>
      </c>
      <c r="T219" s="95"/>
    </row>
    <row r="220" spans="1:21" s="84" customFormat="1" hidden="1" x14ac:dyDescent="0.25">
      <c r="A220" s="9" t="s">
        <v>151</v>
      </c>
      <c r="B220" s="1"/>
      <c r="C220" s="1" t="s">
        <v>968</v>
      </c>
      <c r="D220" s="12">
        <f t="shared" si="61"/>
        <v>67.391304347826079</v>
      </c>
      <c r="E220" s="83">
        <v>41.304347826086953</v>
      </c>
      <c r="F220" s="83">
        <v>26.086956521739129</v>
      </c>
      <c r="G220" s="12">
        <v>75</v>
      </c>
      <c r="H220" s="12">
        <v>65</v>
      </c>
      <c r="I220" s="12">
        <f t="shared" si="62"/>
        <v>2</v>
      </c>
      <c r="J220" s="12" t="str">
        <f t="shared" si="63"/>
        <v>Đạt</v>
      </c>
      <c r="K220" s="10"/>
      <c r="L220" s="96">
        <f t="shared" si="64"/>
        <v>67.39</v>
      </c>
      <c r="M220" s="10">
        <v>41.3</v>
      </c>
      <c r="N220" s="10">
        <v>26.09</v>
      </c>
      <c r="O220" s="12">
        <v>75</v>
      </c>
      <c r="P220" s="97">
        <v>89.1</v>
      </c>
      <c r="Q220" s="12">
        <f t="shared" si="65"/>
        <v>2</v>
      </c>
      <c r="R220" s="12" t="str">
        <f t="shared" si="66"/>
        <v>Đạt</v>
      </c>
      <c r="S220" s="10"/>
      <c r="T220" s="95"/>
    </row>
    <row r="221" spans="1:21" s="84" customFormat="1" hidden="1" x14ac:dyDescent="0.25">
      <c r="A221" s="9" t="s">
        <v>152</v>
      </c>
      <c r="B221" s="1"/>
      <c r="C221" s="1" t="s">
        <v>496</v>
      </c>
      <c r="D221" s="12">
        <f t="shared" si="61"/>
        <v>90.163934426229503</v>
      </c>
      <c r="E221" s="83">
        <v>45.901639344262293</v>
      </c>
      <c r="F221" s="83">
        <v>44.26229508196721</v>
      </c>
      <c r="G221" s="12">
        <v>55</v>
      </c>
      <c r="H221" s="12">
        <v>70</v>
      </c>
      <c r="I221" s="12">
        <f t="shared" si="62"/>
        <v>3</v>
      </c>
      <c r="J221" s="12" t="str">
        <f t="shared" si="63"/>
        <v>Đạt</v>
      </c>
      <c r="K221" s="10"/>
      <c r="L221" s="96">
        <f t="shared" si="64"/>
        <v>90.16</v>
      </c>
      <c r="M221" s="10">
        <v>45.9</v>
      </c>
      <c r="N221" s="10">
        <v>44.26</v>
      </c>
      <c r="O221" s="12">
        <v>55</v>
      </c>
      <c r="P221" s="97">
        <v>85.2</v>
      </c>
      <c r="Q221" s="12">
        <f t="shared" si="65"/>
        <v>3</v>
      </c>
      <c r="R221" s="12" t="str">
        <f t="shared" si="66"/>
        <v>Đạt</v>
      </c>
      <c r="S221" s="10"/>
      <c r="T221" s="95"/>
    </row>
    <row r="222" spans="1:21" s="84" customFormat="1" ht="30" hidden="1" x14ac:dyDescent="0.25">
      <c r="A222" s="9" t="s">
        <v>153</v>
      </c>
      <c r="B222" s="1"/>
      <c r="C222" s="1" t="s">
        <v>969</v>
      </c>
      <c r="D222" s="12">
        <f t="shared" si="61"/>
        <v>70.129870129870127</v>
      </c>
      <c r="E222" s="83">
        <v>45.454545454545453</v>
      </c>
      <c r="F222" s="83">
        <v>24.675324675324674</v>
      </c>
      <c r="G222" s="12">
        <v>75</v>
      </c>
      <c r="H222" s="12">
        <v>65</v>
      </c>
      <c r="I222" s="12">
        <f t="shared" si="62"/>
        <v>2</v>
      </c>
      <c r="J222" s="12" t="str">
        <f t="shared" si="63"/>
        <v>Đạt</v>
      </c>
      <c r="K222" s="10"/>
      <c r="L222" s="96">
        <f t="shared" si="64"/>
        <v>70.13</v>
      </c>
      <c r="M222" s="10">
        <v>45.45</v>
      </c>
      <c r="N222" s="10">
        <v>24.68</v>
      </c>
      <c r="O222" s="12">
        <v>75</v>
      </c>
      <c r="P222" s="97">
        <v>81.8</v>
      </c>
      <c r="Q222" s="12">
        <f t="shared" si="65"/>
        <v>2</v>
      </c>
      <c r="R222" s="12" t="str">
        <f t="shared" si="66"/>
        <v>Đạt</v>
      </c>
      <c r="S222" s="10"/>
      <c r="T222" s="95"/>
    </row>
    <row r="223" spans="1:21" s="84" customFormat="1" hidden="1" x14ac:dyDescent="0.25">
      <c r="A223" s="9" t="s">
        <v>154</v>
      </c>
      <c r="B223" s="1"/>
      <c r="C223" s="1" t="s">
        <v>970</v>
      </c>
      <c r="D223" s="12">
        <f t="shared" si="61"/>
        <v>48.598130841121488</v>
      </c>
      <c r="E223" s="83">
        <v>35.514018691588781</v>
      </c>
      <c r="F223" s="83">
        <v>13.084112149532709</v>
      </c>
      <c r="G223" s="12">
        <v>80</v>
      </c>
      <c r="H223" s="12">
        <v>75</v>
      </c>
      <c r="I223" s="12">
        <f t="shared" si="62"/>
        <v>2</v>
      </c>
      <c r="J223" s="12" t="str">
        <f t="shared" si="63"/>
        <v>Đạt</v>
      </c>
      <c r="K223" s="10"/>
      <c r="L223" s="96">
        <f t="shared" si="64"/>
        <v>48.589999999999996</v>
      </c>
      <c r="M223" s="10">
        <v>35.51</v>
      </c>
      <c r="N223" s="10">
        <v>13.08</v>
      </c>
      <c r="O223" s="12">
        <v>80</v>
      </c>
      <c r="P223" s="97">
        <v>87.9</v>
      </c>
      <c r="Q223" s="12">
        <f t="shared" si="65"/>
        <v>2</v>
      </c>
      <c r="R223" s="12" t="str">
        <f t="shared" si="66"/>
        <v>Đạt</v>
      </c>
      <c r="S223" s="10"/>
      <c r="T223" s="95"/>
    </row>
    <row r="224" spans="1:21" s="84" customFormat="1" hidden="1" x14ac:dyDescent="0.25">
      <c r="A224" s="9" t="s">
        <v>155</v>
      </c>
      <c r="B224" s="1"/>
      <c r="C224" s="1" t="s">
        <v>971</v>
      </c>
      <c r="D224" s="12">
        <f t="shared" si="61"/>
        <v>50.757575757575765</v>
      </c>
      <c r="E224" s="83">
        <v>41.666666666666671</v>
      </c>
      <c r="F224" s="83">
        <v>9.0909090909090917</v>
      </c>
      <c r="G224" s="12">
        <v>46</v>
      </c>
      <c r="H224" s="12">
        <v>75</v>
      </c>
      <c r="I224" s="12">
        <f t="shared" si="62"/>
        <v>3</v>
      </c>
      <c r="J224" s="12" t="str">
        <f t="shared" si="63"/>
        <v>Đạt</v>
      </c>
      <c r="K224" s="10"/>
      <c r="L224" s="96">
        <f t="shared" si="64"/>
        <v>50.760000000000005</v>
      </c>
      <c r="M224" s="10">
        <v>41.67</v>
      </c>
      <c r="N224" s="10">
        <v>9.09</v>
      </c>
      <c r="O224" s="12">
        <v>46</v>
      </c>
      <c r="P224" s="97">
        <v>91.7</v>
      </c>
      <c r="Q224" s="12">
        <f t="shared" si="65"/>
        <v>2</v>
      </c>
      <c r="R224" s="12" t="str">
        <f t="shared" si="66"/>
        <v>Đạt</v>
      </c>
      <c r="S224" s="10"/>
      <c r="T224" s="95"/>
    </row>
    <row r="225" spans="1:21" s="84" customFormat="1" hidden="1" x14ac:dyDescent="0.25">
      <c r="A225" s="9" t="s">
        <v>156</v>
      </c>
      <c r="B225" s="1"/>
      <c r="C225" s="1" t="s">
        <v>972</v>
      </c>
      <c r="D225" s="12">
        <f t="shared" si="61"/>
        <v>49.180327868852459</v>
      </c>
      <c r="E225" s="83">
        <v>40.983606557377051</v>
      </c>
      <c r="F225" s="83">
        <v>8.1967213114754092</v>
      </c>
      <c r="G225" s="12">
        <v>85</v>
      </c>
      <c r="H225" s="12">
        <v>80</v>
      </c>
      <c r="I225" s="12">
        <f t="shared" si="62"/>
        <v>2</v>
      </c>
      <c r="J225" s="12" t="str">
        <f t="shared" si="63"/>
        <v>Đạt</v>
      </c>
      <c r="K225" s="10"/>
      <c r="L225" s="96">
        <f t="shared" si="64"/>
        <v>49.179999999999993</v>
      </c>
      <c r="M225" s="10">
        <v>40.98</v>
      </c>
      <c r="N225" s="10">
        <v>8.1999999999999993</v>
      </c>
      <c r="O225" s="12">
        <v>85</v>
      </c>
      <c r="P225" s="97">
        <v>85.2</v>
      </c>
      <c r="Q225" s="12">
        <f t="shared" si="65"/>
        <v>2</v>
      </c>
      <c r="R225" s="12" t="str">
        <f t="shared" si="66"/>
        <v>Đạt</v>
      </c>
      <c r="S225" s="10"/>
      <c r="T225" s="95"/>
    </row>
    <row r="226" spans="1:21" s="84" customFormat="1" hidden="1" x14ac:dyDescent="0.25">
      <c r="A226" s="9" t="s">
        <v>157</v>
      </c>
      <c r="B226" s="1"/>
      <c r="C226" s="1" t="s">
        <v>973</v>
      </c>
      <c r="D226" s="12">
        <f t="shared" si="61"/>
        <v>47.2</v>
      </c>
      <c r="E226" s="83">
        <v>39.200000000000003</v>
      </c>
      <c r="F226" s="83">
        <v>8</v>
      </c>
      <c r="G226" s="12">
        <v>40</v>
      </c>
      <c r="H226" s="12">
        <v>50</v>
      </c>
      <c r="I226" s="12">
        <f t="shared" si="62"/>
        <v>3</v>
      </c>
      <c r="J226" s="12" t="str">
        <f t="shared" si="63"/>
        <v>Đạt</v>
      </c>
      <c r="K226" s="10"/>
      <c r="L226" s="96">
        <f t="shared" si="64"/>
        <v>47.2</v>
      </c>
      <c r="M226" s="10">
        <v>39.200000000000003</v>
      </c>
      <c r="N226" s="10">
        <v>8</v>
      </c>
      <c r="O226" s="12">
        <v>40</v>
      </c>
      <c r="P226" s="97">
        <v>92.8</v>
      </c>
      <c r="Q226" s="12">
        <f t="shared" si="65"/>
        <v>2</v>
      </c>
      <c r="R226" s="12" t="str">
        <f t="shared" si="66"/>
        <v>Đạt</v>
      </c>
      <c r="S226" s="10"/>
      <c r="T226" s="95"/>
    </row>
    <row r="227" spans="1:21" s="84" customFormat="1" ht="30" hidden="1" x14ac:dyDescent="0.25">
      <c r="A227" s="9" t="s">
        <v>158</v>
      </c>
      <c r="B227" s="1"/>
      <c r="C227" s="1" t="s">
        <v>974</v>
      </c>
      <c r="D227" s="12">
        <f t="shared" si="61"/>
        <v>47.239263803680984</v>
      </c>
      <c r="E227" s="83">
        <v>41.104294478527606</v>
      </c>
      <c r="F227" s="83">
        <v>6.1349693251533743</v>
      </c>
      <c r="G227" s="12">
        <v>45</v>
      </c>
      <c r="H227" s="12">
        <v>60</v>
      </c>
      <c r="I227" s="12">
        <f t="shared" si="62"/>
        <v>3</v>
      </c>
      <c r="J227" s="12" t="str">
        <f t="shared" si="63"/>
        <v>Đạt</v>
      </c>
      <c r="K227" s="10"/>
      <c r="L227" s="96">
        <f t="shared" si="64"/>
        <v>47.230000000000004</v>
      </c>
      <c r="M227" s="10">
        <v>41.1</v>
      </c>
      <c r="N227" s="10">
        <v>6.13</v>
      </c>
      <c r="O227" s="12">
        <v>45</v>
      </c>
      <c r="P227" s="97">
        <v>84</v>
      </c>
      <c r="Q227" s="12">
        <f t="shared" si="65"/>
        <v>3</v>
      </c>
      <c r="R227" s="12" t="str">
        <f t="shared" si="66"/>
        <v>Đạt</v>
      </c>
      <c r="S227" s="10"/>
      <c r="T227" s="95"/>
    </row>
    <row r="228" spans="1:21" s="84" customFormat="1" ht="30" hidden="1" x14ac:dyDescent="0.25">
      <c r="A228" s="9" t="s">
        <v>159</v>
      </c>
      <c r="B228" s="1"/>
      <c r="C228" s="1" t="s">
        <v>975</v>
      </c>
      <c r="D228" s="12">
        <f t="shared" si="61"/>
        <v>53.636363636363633</v>
      </c>
      <c r="E228" s="83">
        <v>43.636363636363633</v>
      </c>
      <c r="F228" s="83">
        <v>10</v>
      </c>
      <c r="G228" s="12">
        <v>55</v>
      </c>
      <c r="H228" s="12">
        <v>70</v>
      </c>
      <c r="I228" s="12">
        <f t="shared" si="62"/>
        <v>3</v>
      </c>
      <c r="J228" s="12" t="str">
        <f t="shared" si="63"/>
        <v>Đạt</v>
      </c>
      <c r="K228" s="10"/>
      <c r="L228" s="96">
        <f t="shared" si="64"/>
        <v>53.64</v>
      </c>
      <c r="M228" s="10">
        <v>43.64</v>
      </c>
      <c r="N228" s="10">
        <v>10</v>
      </c>
      <c r="O228" s="12">
        <v>55</v>
      </c>
      <c r="P228" s="97">
        <v>92.7</v>
      </c>
      <c r="Q228" s="12">
        <f t="shared" si="65"/>
        <v>2</v>
      </c>
      <c r="R228" s="12" t="str">
        <f t="shared" si="66"/>
        <v>Đạt</v>
      </c>
      <c r="S228" s="10"/>
      <c r="T228" s="95"/>
    </row>
    <row r="229" spans="1:21" s="84" customFormat="1" hidden="1" x14ac:dyDescent="0.25">
      <c r="A229" s="9" t="s">
        <v>160</v>
      </c>
      <c r="B229" s="1"/>
      <c r="C229" s="1" t="s">
        <v>976</v>
      </c>
      <c r="D229" s="12">
        <f t="shared" si="61"/>
        <v>48.275862068965516</v>
      </c>
      <c r="E229" s="83">
        <v>40.229885057471265</v>
      </c>
      <c r="F229" s="83">
        <v>8.0459770114942533</v>
      </c>
      <c r="G229" s="12">
        <v>50</v>
      </c>
      <c r="H229" s="12">
        <v>75</v>
      </c>
      <c r="I229" s="12">
        <f t="shared" si="62"/>
        <v>3</v>
      </c>
      <c r="J229" s="12" t="str">
        <f t="shared" si="63"/>
        <v>Đạt</v>
      </c>
      <c r="K229" s="10"/>
      <c r="L229" s="96">
        <f t="shared" si="64"/>
        <v>48.28</v>
      </c>
      <c r="M229" s="10">
        <v>40.229999999999997</v>
      </c>
      <c r="N229" s="10">
        <v>8.0500000000000007</v>
      </c>
      <c r="O229" s="12">
        <v>50</v>
      </c>
      <c r="P229" s="97">
        <v>92.5</v>
      </c>
      <c r="Q229" s="12">
        <f t="shared" si="65"/>
        <v>2</v>
      </c>
      <c r="R229" s="12" t="str">
        <f t="shared" si="66"/>
        <v>Đạt</v>
      </c>
      <c r="S229" s="10"/>
      <c r="T229" s="95"/>
    </row>
    <row r="230" spans="1:21" s="84" customFormat="1" ht="30" x14ac:dyDescent="0.25">
      <c r="A230" s="9" t="s">
        <v>161</v>
      </c>
      <c r="B230" s="1"/>
      <c r="C230" s="1" t="s">
        <v>767</v>
      </c>
      <c r="D230" s="12">
        <f t="shared" si="61"/>
        <v>53.383458646616539</v>
      </c>
      <c r="E230" s="83">
        <v>43.609022556390975</v>
      </c>
      <c r="F230" s="83">
        <v>9.7744360902255636</v>
      </c>
      <c r="G230" s="12">
        <v>85</v>
      </c>
      <c r="H230" s="12">
        <v>75</v>
      </c>
      <c r="I230" s="12">
        <f t="shared" si="62"/>
        <v>2</v>
      </c>
      <c r="J230" s="12" t="str">
        <f t="shared" si="63"/>
        <v>Đạt</v>
      </c>
      <c r="K230" s="10"/>
      <c r="L230" s="96">
        <f t="shared" si="64"/>
        <v>53.379999999999995</v>
      </c>
      <c r="M230" s="10">
        <v>43.61</v>
      </c>
      <c r="N230" s="10">
        <v>9.77</v>
      </c>
      <c r="O230" s="12">
        <v>85</v>
      </c>
      <c r="P230" s="97">
        <v>93.2</v>
      </c>
      <c r="Q230" s="12">
        <f t="shared" si="65"/>
        <v>1</v>
      </c>
      <c r="R230" s="12" t="str">
        <f t="shared" si="66"/>
        <v>Không đạt</v>
      </c>
      <c r="S230" s="10" t="s">
        <v>1185</v>
      </c>
      <c r="T230" s="95"/>
    </row>
    <row r="231" spans="1:21" s="84" customFormat="1" hidden="1" x14ac:dyDescent="0.25">
      <c r="A231" s="9" t="s">
        <v>162</v>
      </c>
      <c r="B231" s="1"/>
      <c r="C231" s="1" t="s">
        <v>977</v>
      </c>
      <c r="D231" s="12">
        <f t="shared" si="61"/>
        <v>54.30463576158941</v>
      </c>
      <c r="E231" s="83">
        <v>37.748344370860927</v>
      </c>
      <c r="F231" s="83">
        <v>16.556291390728479</v>
      </c>
      <c r="G231" s="12">
        <v>50</v>
      </c>
      <c r="H231" s="12">
        <v>70</v>
      </c>
      <c r="I231" s="12">
        <f t="shared" si="62"/>
        <v>3</v>
      </c>
      <c r="J231" s="12" t="str">
        <f t="shared" si="63"/>
        <v>Đạt</v>
      </c>
      <c r="K231" s="10"/>
      <c r="L231" s="96">
        <f t="shared" si="64"/>
        <v>54.31</v>
      </c>
      <c r="M231" s="10">
        <v>37.75</v>
      </c>
      <c r="N231" s="10">
        <v>16.559999999999999</v>
      </c>
      <c r="O231" s="12">
        <v>50</v>
      </c>
      <c r="P231" s="97">
        <v>93.4</v>
      </c>
      <c r="Q231" s="12">
        <f t="shared" si="65"/>
        <v>2</v>
      </c>
      <c r="R231" s="12" t="str">
        <f t="shared" si="66"/>
        <v>Đạt</v>
      </c>
      <c r="S231" s="10"/>
      <c r="T231" s="95"/>
    </row>
    <row r="232" spans="1:21" s="84" customFormat="1" hidden="1" x14ac:dyDescent="0.25">
      <c r="A232" s="9" t="s">
        <v>163</v>
      </c>
      <c r="B232" s="1"/>
      <c r="C232" s="1" t="s">
        <v>978</v>
      </c>
      <c r="D232" s="12">
        <f t="shared" si="61"/>
        <v>50</v>
      </c>
      <c r="E232" s="83">
        <v>35.15625</v>
      </c>
      <c r="F232" s="83">
        <v>14.84375</v>
      </c>
      <c r="G232" s="12">
        <v>48</v>
      </c>
      <c r="H232" s="12">
        <v>65</v>
      </c>
      <c r="I232" s="12">
        <f t="shared" si="62"/>
        <v>3</v>
      </c>
      <c r="J232" s="12" t="str">
        <f t="shared" si="63"/>
        <v>Đạt</v>
      </c>
      <c r="K232" s="10"/>
      <c r="L232" s="96">
        <f t="shared" si="64"/>
        <v>49.959999999999994</v>
      </c>
      <c r="M232" s="10">
        <v>35.159999999999997</v>
      </c>
      <c r="N232" s="10">
        <v>14.8</v>
      </c>
      <c r="O232" s="12">
        <v>48</v>
      </c>
      <c r="P232" s="97">
        <v>89.1</v>
      </c>
      <c r="Q232" s="12">
        <f t="shared" si="65"/>
        <v>3</v>
      </c>
      <c r="R232" s="12" t="str">
        <f t="shared" si="66"/>
        <v>Đạt</v>
      </c>
      <c r="S232" s="10"/>
      <c r="T232" s="95"/>
    </row>
    <row r="233" spans="1:21" s="84" customFormat="1" hidden="1" x14ac:dyDescent="0.25">
      <c r="A233" s="9" t="s">
        <v>164</v>
      </c>
      <c r="B233" s="1"/>
      <c r="C233" s="1" t="s">
        <v>979</v>
      </c>
      <c r="D233" s="12">
        <f t="shared" si="61"/>
        <v>61.165048543689316</v>
      </c>
      <c r="E233" s="83">
        <v>41.747572815533978</v>
      </c>
      <c r="F233" s="83">
        <v>19.417475728155338</v>
      </c>
      <c r="G233" s="12">
        <v>57</v>
      </c>
      <c r="H233" s="12">
        <v>60</v>
      </c>
      <c r="I233" s="12">
        <f t="shared" si="62"/>
        <v>3</v>
      </c>
      <c r="J233" s="12" t="str">
        <f t="shared" si="63"/>
        <v>Đạt</v>
      </c>
      <c r="K233" s="10"/>
      <c r="L233" s="96">
        <f t="shared" si="64"/>
        <v>61.1</v>
      </c>
      <c r="M233" s="10">
        <v>41.7</v>
      </c>
      <c r="N233" s="10">
        <v>19.399999999999999</v>
      </c>
      <c r="O233" s="12">
        <v>57</v>
      </c>
      <c r="P233" s="97">
        <v>92.2</v>
      </c>
      <c r="Q233" s="12">
        <f t="shared" si="65"/>
        <v>2</v>
      </c>
      <c r="R233" s="12" t="str">
        <f t="shared" si="66"/>
        <v>Đạt</v>
      </c>
      <c r="S233" s="10"/>
      <c r="T233" s="95"/>
    </row>
    <row r="234" spans="1:21" s="84" customFormat="1" hidden="1" x14ac:dyDescent="0.25">
      <c r="A234" s="9" t="s">
        <v>165</v>
      </c>
      <c r="B234" s="1"/>
      <c r="C234" s="1" t="s">
        <v>980</v>
      </c>
      <c r="D234" s="12">
        <f t="shared" si="61"/>
        <v>23.80952380952381</v>
      </c>
      <c r="E234" s="83">
        <v>13.333333333333334</v>
      </c>
      <c r="F234" s="83">
        <v>10.476190476190476</v>
      </c>
      <c r="G234" s="12">
        <v>55</v>
      </c>
      <c r="H234" s="12">
        <v>92</v>
      </c>
      <c r="I234" s="12">
        <f t="shared" si="62"/>
        <v>2</v>
      </c>
      <c r="J234" s="12" t="str">
        <f t="shared" si="63"/>
        <v>Đạt</v>
      </c>
      <c r="K234" s="10"/>
      <c r="L234" s="96">
        <f t="shared" si="64"/>
        <v>23.8</v>
      </c>
      <c r="M234" s="10">
        <v>13.3</v>
      </c>
      <c r="N234" s="10">
        <v>10.5</v>
      </c>
      <c r="O234" s="12">
        <v>55</v>
      </c>
      <c r="P234" s="97">
        <v>87.6</v>
      </c>
      <c r="Q234" s="12">
        <f t="shared" si="65"/>
        <v>3</v>
      </c>
      <c r="R234" s="12" t="str">
        <f t="shared" si="66"/>
        <v>Đạt</v>
      </c>
      <c r="S234" s="10"/>
      <c r="T234" s="95"/>
    </row>
    <row r="235" spans="1:21" s="84" customFormat="1" hidden="1" x14ac:dyDescent="0.25">
      <c r="A235" s="9" t="s">
        <v>166</v>
      </c>
      <c r="B235" s="1"/>
      <c r="C235" s="1" t="s">
        <v>981</v>
      </c>
      <c r="D235" s="12">
        <f t="shared" si="61"/>
        <v>44.230769230769226</v>
      </c>
      <c r="E235" s="83">
        <v>28.846153846153843</v>
      </c>
      <c r="F235" s="83">
        <v>15.384615384615385</v>
      </c>
      <c r="G235" s="12">
        <v>85</v>
      </c>
      <c r="H235" s="12">
        <v>75</v>
      </c>
      <c r="I235" s="12">
        <f t="shared" si="62"/>
        <v>2</v>
      </c>
      <c r="J235" s="12" t="str">
        <f t="shared" si="63"/>
        <v>Đạt</v>
      </c>
      <c r="K235" s="10"/>
      <c r="L235" s="96">
        <f t="shared" si="64"/>
        <v>44.2</v>
      </c>
      <c r="M235" s="10">
        <v>28.8</v>
      </c>
      <c r="N235" s="10">
        <v>15.4</v>
      </c>
      <c r="O235" s="12">
        <v>85</v>
      </c>
      <c r="P235" s="97">
        <v>85.6</v>
      </c>
      <c r="Q235" s="12">
        <f t="shared" si="65"/>
        <v>2</v>
      </c>
      <c r="R235" s="12" t="str">
        <f t="shared" si="66"/>
        <v>Đạt</v>
      </c>
      <c r="S235" s="10"/>
      <c r="T235" s="95"/>
    </row>
    <row r="236" spans="1:21" s="84" customFormat="1" hidden="1" x14ac:dyDescent="0.25">
      <c r="A236" s="9" t="s">
        <v>167</v>
      </c>
      <c r="B236" s="1"/>
      <c r="C236" s="1" t="s">
        <v>982</v>
      </c>
      <c r="D236" s="12">
        <f>E236+F236</f>
        <v>56.8</v>
      </c>
      <c r="E236" s="83">
        <v>38.4</v>
      </c>
      <c r="F236" s="83">
        <v>18.399999999999999</v>
      </c>
      <c r="G236" s="12">
        <v>50</v>
      </c>
      <c r="H236" s="12">
        <v>93</v>
      </c>
      <c r="I236" s="12">
        <f t="shared" si="62"/>
        <v>2</v>
      </c>
      <c r="J236" s="12" t="str">
        <f t="shared" si="63"/>
        <v>Đạt</v>
      </c>
      <c r="K236" s="10"/>
      <c r="L236" s="96">
        <f t="shared" si="64"/>
        <v>56.8</v>
      </c>
      <c r="M236" s="10">
        <v>38.4</v>
      </c>
      <c r="N236" s="10">
        <v>18.399999999999999</v>
      </c>
      <c r="O236" s="12">
        <v>50</v>
      </c>
      <c r="P236" s="97">
        <v>86.4</v>
      </c>
      <c r="Q236" s="12">
        <f t="shared" si="65"/>
        <v>3</v>
      </c>
      <c r="R236" s="12" t="str">
        <f t="shared" si="66"/>
        <v>Đạt</v>
      </c>
      <c r="S236" s="10"/>
      <c r="T236" s="95"/>
    </row>
    <row r="237" spans="1:21" s="95" customFormat="1" ht="28.5" hidden="1" x14ac:dyDescent="0.25">
      <c r="A237" s="5" t="s">
        <v>639</v>
      </c>
      <c r="B237" s="6" t="s">
        <v>138</v>
      </c>
      <c r="C237" s="6"/>
      <c r="D237" s="8"/>
      <c r="E237" s="103"/>
      <c r="F237" s="103"/>
      <c r="G237" s="8"/>
      <c r="H237" s="8"/>
      <c r="I237" s="8"/>
      <c r="J237" s="8"/>
      <c r="K237" s="48">
        <f>COUNTIF(J238:J290,"Đạt")</f>
        <v>35</v>
      </c>
      <c r="L237" s="101">
        <f t="shared" ref="L237:L300" si="67">M237+N237</f>
        <v>0</v>
      </c>
      <c r="M237" s="7"/>
      <c r="N237" s="7"/>
      <c r="O237" s="8"/>
      <c r="P237" s="102"/>
      <c r="Q237" s="77"/>
      <c r="R237" s="77"/>
      <c r="S237" s="48"/>
      <c r="T237" s="94"/>
      <c r="U237" s="84"/>
    </row>
    <row r="238" spans="1:21" s="84" customFormat="1" ht="15.75" hidden="1" x14ac:dyDescent="0.25">
      <c r="A238" s="9" t="s">
        <v>148</v>
      </c>
      <c r="B238" s="1"/>
      <c r="C238" s="1" t="s">
        <v>640</v>
      </c>
      <c r="D238" s="15">
        <f t="shared" ref="D238:D290" si="68">E238+F238</f>
        <v>43.29</v>
      </c>
      <c r="E238" s="11">
        <v>22.39</v>
      </c>
      <c r="F238" s="11">
        <v>20.9</v>
      </c>
      <c r="G238" s="15">
        <v>100</v>
      </c>
      <c r="H238" s="15">
        <v>100</v>
      </c>
      <c r="I238" s="12">
        <f t="shared" ref="I238:I362" si="69">SUM((IF(D238&gt;=16.24,1,0))+(IF(G238&lt;60,1,0))+(IF(H238&lt;90,1,0)))</f>
        <v>1</v>
      </c>
      <c r="J238" s="12" t="str">
        <f t="shared" ref="J238:J290" si="70">IF(I238&gt;=2,"Đạt","Không đạt")</f>
        <v>Không đạt</v>
      </c>
      <c r="K238" s="10"/>
      <c r="L238" s="96">
        <f t="shared" si="67"/>
        <v>43.29</v>
      </c>
      <c r="M238" s="112">
        <v>22.39</v>
      </c>
      <c r="N238" s="110">
        <v>20.9</v>
      </c>
      <c r="O238" s="15">
        <v>100</v>
      </c>
      <c r="P238" s="97">
        <v>100</v>
      </c>
      <c r="Q238" s="12">
        <f t="shared" ref="Q238:Q301" si="71">SUM((IF(L238&gt;=16.24,1,0))+(IF(O238&lt;60,1,0))+(IF(P238&lt;90,1,0)))</f>
        <v>1</v>
      </c>
      <c r="R238" s="12" t="str">
        <f t="shared" ref="R238:R301" si="72">IF(Q238&gt;=2,"Đạt","Không đạt")</f>
        <v>Không đạt</v>
      </c>
      <c r="S238" s="10"/>
      <c r="T238" s="95"/>
    </row>
    <row r="239" spans="1:21" s="84" customFormat="1" ht="15.75" hidden="1" x14ac:dyDescent="0.25">
      <c r="A239" s="9" t="s">
        <v>149</v>
      </c>
      <c r="B239" s="1"/>
      <c r="C239" s="1" t="s">
        <v>641</v>
      </c>
      <c r="D239" s="15">
        <f t="shared" si="68"/>
        <v>58.28</v>
      </c>
      <c r="E239" s="11">
        <v>29.5</v>
      </c>
      <c r="F239" s="11">
        <v>28.78</v>
      </c>
      <c r="G239" s="15">
        <v>34.502923976608201</v>
      </c>
      <c r="H239" s="15">
        <v>100</v>
      </c>
      <c r="I239" s="12">
        <f t="shared" si="69"/>
        <v>2</v>
      </c>
      <c r="J239" s="12" t="str">
        <f t="shared" si="70"/>
        <v>Đạt</v>
      </c>
      <c r="K239" s="10"/>
      <c r="L239" s="96">
        <f t="shared" si="67"/>
        <v>58.28</v>
      </c>
      <c r="M239" s="113">
        <v>29.5</v>
      </c>
      <c r="N239" s="110">
        <v>28.78</v>
      </c>
      <c r="O239" s="15">
        <v>34.502923976608201</v>
      </c>
      <c r="P239" s="97">
        <v>98.561151079136692</v>
      </c>
      <c r="Q239" s="12">
        <f t="shared" si="71"/>
        <v>2</v>
      </c>
      <c r="R239" s="12" t="str">
        <f t="shared" si="72"/>
        <v>Đạt</v>
      </c>
      <c r="S239" s="10"/>
      <c r="T239" s="95"/>
    </row>
    <row r="240" spans="1:21" s="84" customFormat="1" ht="15.75" hidden="1" x14ac:dyDescent="0.25">
      <c r="A240" s="9" t="s">
        <v>150</v>
      </c>
      <c r="B240" s="1"/>
      <c r="C240" s="1" t="s">
        <v>642</v>
      </c>
      <c r="D240" s="15">
        <f t="shared" si="68"/>
        <v>80.400000000000006</v>
      </c>
      <c r="E240" s="11">
        <v>38.24</v>
      </c>
      <c r="F240" s="11">
        <v>42.16</v>
      </c>
      <c r="G240" s="15">
        <v>81.343283582089555</v>
      </c>
      <c r="H240" s="15">
        <v>100</v>
      </c>
      <c r="I240" s="12">
        <f t="shared" si="69"/>
        <v>1</v>
      </c>
      <c r="J240" s="12" t="str">
        <f t="shared" si="70"/>
        <v>Không đạt</v>
      </c>
      <c r="K240" s="10"/>
      <c r="L240" s="96">
        <f t="shared" si="67"/>
        <v>80.400000000000006</v>
      </c>
      <c r="M240" s="113">
        <v>38.24</v>
      </c>
      <c r="N240" s="110">
        <v>42.16</v>
      </c>
      <c r="O240" s="15">
        <v>81.343283582089555</v>
      </c>
      <c r="P240" s="97">
        <v>97.058823529411768</v>
      </c>
      <c r="Q240" s="12">
        <f t="shared" si="71"/>
        <v>1</v>
      </c>
      <c r="R240" s="12" t="str">
        <f t="shared" si="72"/>
        <v>Không đạt</v>
      </c>
      <c r="S240" s="10"/>
      <c r="T240" s="95"/>
    </row>
    <row r="241" spans="1:20" s="84" customFormat="1" ht="15.75" hidden="1" x14ac:dyDescent="0.25">
      <c r="A241" s="9" t="s">
        <v>151</v>
      </c>
      <c r="B241" s="1"/>
      <c r="C241" s="1" t="s">
        <v>643</v>
      </c>
      <c r="D241" s="15">
        <f t="shared" si="68"/>
        <v>87.35</v>
      </c>
      <c r="E241" s="11">
        <v>50.57</v>
      </c>
      <c r="F241" s="11">
        <v>36.78</v>
      </c>
      <c r="G241" s="15">
        <v>32.258064516129025</v>
      </c>
      <c r="H241" s="15">
        <v>100</v>
      </c>
      <c r="I241" s="12">
        <f t="shared" si="69"/>
        <v>2</v>
      </c>
      <c r="J241" s="12" t="str">
        <f t="shared" si="70"/>
        <v>Đạt</v>
      </c>
      <c r="K241" s="10"/>
      <c r="L241" s="96">
        <f t="shared" si="67"/>
        <v>87.35</v>
      </c>
      <c r="M241" s="113">
        <v>50.57</v>
      </c>
      <c r="N241" s="110">
        <v>36.78</v>
      </c>
      <c r="O241" s="15">
        <v>32.258064516129025</v>
      </c>
      <c r="P241" s="97">
        <v>98.850574712643677</v>
      </c>
      <c r="Q241" s="12">
        <f t="shared" si="71"/>
        <v>2</v>
      </c>
      <c r="R241" s="12" t="str">
        <f t="shared" si="72"/>
        <v>Đạt</v>
      </c>
      <c r="S241" s="10"/>
      <c r="T241" s="95"/>
    </row>
    <row r="242" spans="1:20" s="84" customFormat="1" ht="15.75" hidden="1" x14ac:dyDescent="0.25">
      <c r="A242" s="9" t="s">
        <v>152</v>
      </c>
      <c r="B242" s="1"/>
      <c r="C242" s="1" t="s">
        <v>1143</v>
      </c>
      <c r="D242" s="15">
        <f t="shared" si="68"/>
        <v>51.97</v>
      </c>
      <c r="E242" s="11">
        <v>25.2</v>
      </c>
      <c r="F242" s="11">
        <v>26.77</v>
      </c>
      <c r="G242" s="15">
        <v>100</v>
      </c>
      <c r="H242" s="15">
        <v>100</v>
      </c>
      <c r="I242" s="12">
        <f t="shared" si="69"/>
        <v>1</v>
      </c>
      <c r="J242" s="12" t="str">
        <f t="shared" si="70"/>
        <v>Không đạt</v>
      </c>
      <c r="K242" s="10"/>
      <c r="L242" s="96">
        <f t="shared" si="67"/>
        <v>51.97</v>
      </c>
      <c r="M242" s="113">
        <v>25.2</v>
      </c>
      <c r="N242" s="110">
        <v>26.77</v>
      </c>
      <c r="O242" s="15">
        <v>100</v>
      </c>
      <c r="P242" s="97">
        <v>98.425196850393704</v>
      </c>
      <c r="Q242" s="12">
        <f t="shared" si="71"/>
        <v>1</v>
      </c>
      <c r="R242" s="12" t="str">
        <f t="shared" si="72"/>
        <v>Không đạt</v>
      </c>
      <c r="S242" s="10"/>
      <c r="T242" s="95"/>
    </row>
    <row r="243" spans="1:20" s="84" customFormat="1" ht="15.75" hidden="1" x14ac:dyDescent="0.25">
      <c r="A243" s="9" t="s">
        <v>153</v>
      </c>
      <c r="B243" s="1"/>
      <c r="C243" s="1" t="s">
        <v>644</v>
      </c>
      <c r="D243" s="15">
        <f t="shared" si="68"/>
        <v>93.67</v>
      </c>
      <c r="E243" s="11">
        <v>43.04</v>
      </c>
      <c r="F243" s="11">
        <v>50.63</v>
      </c>
      <c r="G243" s="15">
        <v>23.529411764705877</v>
      </c>
      <c r="H243" s="15">
        <v>100</v>
      </c>
      <c r="I243" s="12">
        <f t="shared" si="69"/>
        <v>2</v>
      </c>
      <c r="J243" s="12" t="str">
        <f t="shared" si="70"/>
        <v>Đạt</v>
      </c>
      <c r="K243" s="10"/>
      <c r="L243" s="96">
        <f t="shared" si="67"/>
        <v>93.67</v>
      </c>
      <c r="M243" s="113">
        <v>43.04</v>
      </c>
      <c r="N243" s="110">
        <v>50.63</v>
      </c>
      <c r="O243" s="15">
        <v>23.529411764705877</v>
      </c>
      <c r="P243" s="97">
        <v>98.734177215189874</v>
      </c>
      <c r="Q243" s="12">
        <f t="shared" si="71"/>
        <v>2</v>
      </c>
      <c r="R243" s="12" t="str">
        <f t="shared" si="72"/>
        <v>Đạt</v>
      </c>
      <c r="S243" s="10"/>
      <c r="T243" s="95"/>
    </row>
    <row r="244" spans="1:20" s="84" customFormat="1" ht="15.75" hidden="1" x14ac:dyDescent="0.25">
      <c r="A244" s="9" t="s">
        <v>154</v>
      </c>
      <c r="B244" s="1"/>
      <c r="C244" s="1" t="s">
        <v>645</v>
      </c>
      <c r="D244" s="15">
        <f t="shared" si="68"/>
        <v>65.45</v>
      </c>
      <c r="E244" s="11">
        <v>27.27</v>
      </c>
      <c r="F244" s="11">
        <v>38.18</v>
      </c>
      <c r="G244" s="15">
        <v>100</v>
      </c>
      <c r="H244" s="15">
        <v>100</v>
      </c>
      <c r="I244" s="12">
        <f t="shared" si="69"/>
        <v>1</v>
      </c>
      <c r="J244" s="12" t="str">
        <f t="shared" si="70"/>
        <v>Không đạt</v>
      </c>
      <c r="K244" s="10"/>
      <c r="L244" s="96">
        <f t="shared" si="67"/>
        <v>65.45</v>
      </c>
      <c r="M244" s="113">
        <v>27.27</v>
      </c>
      <c r="N244" s="110">
        <v>38.18</v>
      </c>
      <c r="O244" s="15">
        <v>100</v>
      </c>
      <c r="P244" s="97">
        <v>96.36363636363636</v>
      </c>
      <c r="Q244" s="12">
        <f t="shared" si="71"/>
        <v>1</v>
      </c>
      <c r="R244" s="12" t="str">
        <f t="shared" si="72"/>
        <v>Không đạt</v>
      </c>
      <c r="S244" s="10"/>
      <c r="T244" s="95"/>
    </row>
    <row r="245" spans="1:20" s="84" customFormat="1" ht="15.75" hidden="1" x14ac:dyDescent="0.25">
      <c r="A245" s="9" t="s">
        <v>155</v>
      </c>
      <c r="B245" s="1"/>
      <c r="C245" s="1" t="s">
        <v>646</v>
      </c>
      <c r="D245" s="15">
        <f t="shared" si="68"/>
        <v>51.400000000000006</v>
      </c>
      <c r="E245" s="11">
        <v>25.23</v>
      </c>
      <c r="F245" s="11">
        <v>26.17</v>
      </c>
      <c r="G245" s="15">
        <v>100</v>
      </c>
      <c r="H245" s="15">
        <v>100</v>
      </c>
      <c r="I245" s="12">
        <f t="shared" si="69"/>
        <v>1</v>
      </c>
      <c r="J245" s="12" t="str">
        <f t="shared" si="70"/>
        <v>Không đạt</v>
      </c>
      <c r="K245" s="10"/>
      <c r="L245" s="96">
        <f t="shared" si="67"/>
        <v>51.400000000000006</v>
      </c>
      <c r="M245" s="113">
        <v>25.23</v>
      </c>
      <c r="N245" s="110">
        <v>26.17</v>
      </c>
      <c r="O245" s="15">
        <v>100</v>
      </c>
      <c r="P245" s="97">
        <v>98.130841121495322</v>
      </c>
      <c r="Q245" s="12">
        <f t="shared" si="71"/>
        <v>1</v>
      </c>
      <c r="R245" s="12" t="str">
        <f t="shared" si="72"/>
        <v>Không đạt</v>
      </c>
      <c r="S245" s="10"/>
      <c r="T245" s="95"/>
    </row>
    <row r="246" spans="1:20" s="84" customFormat="1" ht="15.75" hidden="1" x14ac:dyDescent="0.25">
      <c r="A246" s="9" t="s">
        <v>156</v>
      </c>
      <c r="B246" s="1"/>
      <c r="C246" s="1" t="s">
        <v>647</v>
      </c>
      <c r="D246" s="15">
        <f t="shared" si="68"/>
        <v>46.84</v>
      </c>
      <c r="E246" s="11">
        <v>32.43</v>
      </c>
      <c r="F246" s="11">
        <v>14.41</v>
      </c>
      <c r="G246" s="15">
        <v>35</v>
      </c>
      <c r="H246" s="15">
        <v>100</v>
      </c>
      <c r="I246" s="12">
        <f t="shared" si="69"/>
        <v>2</v>
      </c>
      <c r="J246" s="12" t="str">
        <f t="shared" si="70"/>
        <v>Đạt</v>
      </c>
      <c r="K246" s="10"/>
      <c r="L246" s="96">
        <f t="shared" si="67"/>
        <v>46.84</v>
      </c>
      <c r="M246" s="113">
        <v>32.43</v>
      </c>
      <c r="N246" s="110">
        <v>14.41</v>
      </c>
      <c r="O246" s="15">
        <v>35</v>
      </c>
      <c r="P246" s="97">
        <v>97.297297297297291</v>
      </c>
      <c r="Q246" s="12">
        <f t="shared" si="71"/>
        <v>2</v>
      </c>
      <c r="R246" s="12" t="str">
        <f t="shared" si="72"/>
        <v>Đạt</v>
      </c>
      <c r="S246" s="10"/>
      <c r="T246" s="95"/>
    </row>
    <row r="247" spans="1:20" s="84" customFormat="1" ht="15.75" hidden="1" x14ac:dyDescent="0.25">
      <c r="A247" s="9" t="s">
        <v>157</v>
      </c>
      <c r="B247" s="1"/>
      <c r="C247" s="1" t="s">
        <v>648</v>
      </c>
      <c r="D247" s="15">
        <f t="shared" si="68"/>
        <v>80.599999999999994</v>
      </c>
      <c r="E247" s="11">
        <v>41.79</v>
      </c>
      <c r="F247" s="11">
        <v>38.81</v>
      </c>
      <c r="G247" s="15">
        <v>100</v>
      </c>
      <c r="H247" s="15">
        <v>100</v>
      </c>
      <c r="I247" s="12">
        <f t="shared" si="69"/>
        <v>1</v>
      </c>
      <c r="J247" s="12" t="str">
        <f t="shared" si="70"/>
        <v>Không đạt</v>
      </c>
      <c r="K247" s="10"/>
      <c r="L247" s="96">
        <f t="shared" si="67"/>
        <v>80.599999999999994</v>
      </c>
      <c r="M247" s="113">
        <v>41.79</v>
      </c>
      <c r="N247" s="110">
        <v>38.81</v>
      </c>
      <c r="O247" s="15">
        <v>100</v>
      </c>
      <c r="P247" s="97">
        <v>97.014925373134318</v>
      </c>
      <c r="Q247" s="12">
        <f t="shared" si="71"/>
        <v>1</v>
      </c>
      <c r="R247" s="12" t="str">
        <f t="shared" si="72"/>
        <v>Không đạt</v>
      </c>
      <c r="S247" s="10"/>
      <c r="T247" s="95"/>
    </row>
    <row r="248" spans="1:20" s="84" customFormat="1" ht="15.75" hidden="1" x14ac:dyDescent="0.25">
      <c r="A248" s="9" t="s">
        <v>158</v>
      </c>
      <c r="B248" s="1"/>
      <c r="C248" s="1" t="s">
        <v>649</v>
      </c>
      <c r="D248" s="15">
        <f t="shared" si="68"/>
        <v>74.569999999999993</v>
      </c>
      <c r="E248" s="11">
        <v>49.15</v>
      </c>
      <c r="F248" s="11">
        <v>25.42</v>
      </c>
      <c r="G248" s="15">
        <v>100</v>
      </c>
      <c r="H248" s="15">
        <v>100</v>
      </c>
      <c r="I248" s="12">
        <f t="shared" si="69"/>
        <v>1</v>
      </c>
      <c r="J248" s="12" t="str">
        <f t="shared" si="70"/>
        <v>Không đạt</v>
      </c>
      <c r="K248" s="10"/>
      <c r="L248" s="96">
        <f t="shared" si="67"/>
        <v>74.569999999999993</v>
      </c>
      <c r="M248" s="113">
        <v>49.15</v>
      </c>
      <c r="N248" s="110">
        <v>25.42</v>
      </c>
      <c r="O248" s="15">
        <v>100</v>
      </c>
      <c r="P248" s="97">
        <v>96.610169491525426</v>
      </c>
      <c r="Q248" s="12">
        <f t="shared" si="71"/>
        <v>1</v>
      </c>
      <c r="R248" s="12" t="str">
        <f t="shared" si="72"/>
        <v>Không đạt</v>
      </c>
      <c r="S248" s="10"/>
      <c r="T248" s="95"/>
    </row>
    <row r="249" spans="1:20" s="84" customFormat="1" ht="15.75" hidden="1" x14ac:dyDescent="0.25">
      <c r="A249" s="9" t="s">
        <v>159</v>
      </c>
      <c r="B249" s="1"/>
      <c r="C249" s="1" t="s">
        <v>1144</v>
      </c>
      <c r="D249" s="15">
        <f t="shared" si="68"/>
        <v>88.89</v>
      </c>
      <c r="E249" s="11">
        <v>66.67</v>
      </c>
      <c r="F249" s="11">
        <v>22.22</v>
      </c>
      <c r="G249" s="15">
        <v>28.57142857142858</v>
      </c>
      <c r="H249" s="15">
        <v>100</v>
      </c>
      <c r="I249" s="12">
        <f t="shared" si="69"/>
        <v>2</v>
      </c>
      <c r="J249" s="12" t="str">
        <f t="shared" si="70"/>
        <v>Đạt</v>
      </c>
      <c r="K249" s="10"/>
      <c r="L249" s="96">
        <f t="shared" si="67"/>
        <v>88.89</v>
      </c>
      <c r="M249" s="113">
        <v>66.67</v>
      </c>
      <c r="N249" s="110">
        <v>22.22</v>
      </c>
      <c r="O249" s="15">
        <v>28.57142857142858</v>
      </c>
      <c r="P249" s="97">
        <v>97.297297297297291</v>
      </c>
      <c r="Q249" s="12">
        <f t="shared" si="71"/>
        <v>2</v>
      </c>
      <c r="R249" s="12" t="str">
        <f t="shared" si="72"/>
        <v>Đạt</v>
      </c>
      <c r="S249" s="10"/>
      <c r="T249" s="95"/>
    </row>
    <row r="250" spans="1:20" s="84" customFormat="1" ht="15.75" hidden="1" x14ac:dyDescent="0.25">
      <c r="A250" s="9" t="s">
        <v>160</v>
      </c>
      <c r="B250" s="1"/>
      <c r="C250" s="1" t="s">
        <v>1145</v>
      </c>
      <c r="D250" s="15">
        <f t="shared" si="68"/>
        <v>86.27</v>
      </c>
      <c r="E250" s="11">
        <v>56.86</v>
      </c>
      <c r="F250" s="11">
        <v>29.41</v>
      </c>
      <c r="G250" s="15">
        <v>41.666666666666664</v>
      </c>
      <c r="H250" s="15">
        <v>100</v>
      </c>
      <c r="I250" s="12">
        <f t="shared" si="69"/>
        <v>2</v>
      </c>
      <c r="J250" s="12" t="str">
        <f t="shared" si="70"/>
        <v>Đạt</v>
      </c>
      <c r="K250" s="10"/>
      <c r="L250" s="96">
        <f t="shared" si="67"/>
        <v>86.27</v>
      </c>
      <c r="M250" s="113">
        <v>56.86</v>
      </c>
      <c r="N250" s="110">
        <v>29.41</v>
      </c>
      <c r="O250" s="15">
        <v>41.666666666666664</v>
      </c>
      <c r="P250" s="97">
        <v>98.039215686274503</v>
      </c>
      <c r="Q250" s="12">
        <f t="shared" si="71"/>
        <v>2</v>
      </c>
      <c r="R250" s="12" t="str">
        <f t="shared" si="72"/>
        <v>Đạt</v>
      </c>
      <c r="S250" s="10"/>
      <c r="T250" s="95"/>
    </row>
    <row r="251" spans="1:20" s="84" customFormat="1" ht="15.75" hidden="1" x14ac:dyDescent="0.25">
      <c r="A251" s="9" t="s">
        <v>161</v>
      </c>
      <c r="B251" s="1"/>
      <c r="C251" s="1" t="s">
        <v>650</v>
      </c>
      <c r="D251" s="15">
        <f t="shared" si="68"/>
        <v>71.91</v>
      </c>
      <c r="E251" s="11">
        <v>40.450000000000003</v>
      </c>
      <c r="F251" s="11">
        <v>31.46</v>
      </c>
      <c r="G251" s="15">
        <v>33.333333333333329</v>
      </c>
      <c r="H251" s="15">
        <v>100</v>
      </c>
      <c r="I251" s="12">
        <f t="shared" si="69"/>
        <v>2</v>
      </c>
      <c r="J251" s="12" t="str">
        <f t="shared" si="70"/>
        <v>Đạt</v>
      </c>
      <c r="K251" s="10"/>
      <c r="L251" s="96">
        <f t="shared" si="67"/>
        <v>71.91</v>
      </c>
      <c r="M251" s="113">
        <v>40.450000000000003</v>
      </c>
      <c r="N251" s="110">
        <v>31.46</v>
      </c>
      <c r="O251" s="15">
        <v>33.333333333333329</v>
      </c>
      <c r="P251" s="97">
        <v>95.50561797752809</v>
      </c>
      <c r="Q251" s="12">
        <f t="shared" si="71"/>
        <v>2</v>
      </c>
      <c r="R251" s="12" t="str">
        <f t="shared" si="72"/>
        <v>Đạt</v>
      </c>
      <c r="S251" s="10"/>
      <c r="T251" s="95"/>
    </row>
    <row r="252" spans="1:20" s="84" customFormat="1" ht="15.75" hidden="1" x14ac:dyDescent="0.25">
      <c r="A252" s="9" t="s">
        <v>162</v>
      </c>
      <c r="B252" s="1"/>
      <c r="C252" s="1" t="s">
        <v>651</v>
      </c>
      <c r="D252" s="15">
        <f t="shared" si="68"/>
        <v>76.19</v>
      </c>
      <c r="E252" s="11">
        <v>19.05</v>
      </c>
      <c r="F252" s="11">
        <v>57.14</v>
      </c>
      <c r="G252" s="15">
        <v>29.411764705882348</v>
      </c>
      <c r="H252" s="15">
        <v>100</v>
      </c>
      <c r="I252" s="12">
        <f t="shared" si="69"/>
        <v>2</v>
      </c>
      <c r="J252" s="12" t="str">
        <f t="shared" si="70"/>
        <v>Đạt</v>
      </c>
      <c r="K252" s="10"/>
      <c r="L252" s="96">
        <f t="shared" si="67"/>
        <v>76.19</v>
      </c>
      <c r="M252" s="113">
        <v>19.05</v>
      </c>
      <c r="N252" s="110">
        <v>57.14</v>
      </c>
      <c r="O252" s="15">
        <v>29.411764705882348</v>
      </c>
      <c r="P252" s="97">
        <v>97.61904761904762</v>
      </c>
      <c r="Q252" s="12">
        <f t="shared" si="71"/>
        <v>2</v>
      </c>
      <c r="R252" s="12" t="str">
        <f t="shared" si="72"/>
        <v>Đạt</v>
      </c>
      <c r="S252" s="10"/>
      <c r="T252" s="95"/>
    </row>
    <row r="253" spans="1:20" s="84" customFormat="1" ht="15.75" hidden="1" x14ac:dyDescent="0.25">
      <c r="A253" s="9" t="s">
        <v>163</v>
      </c>
      <c r="B253" s="1"/>
      <c r="C253" s="1" t="s">
        <v>652</v>
      </c>
      <c r="D253" s="15">
        <f t="shared" si="68"/>
        <v>50</v>
      </c>
      <c r="E253" s="11">
        <v>28.33</v>
      </c>
      <c r="F253" s="11">
        <v>21.67</v>
      </c>
      <c r="G253" s="15">
        <v>35.294117647058812</v>
      </c>
      <c r="H253" s="15">
        <v>100</v>
      </c>
      <c r="I253" s="12">
        <f t="shared" si="69"/>
        <v>2</v>
      </c>
      <c r="J253" s="12" t="str">
        <f t="shared" si="70"/>
        <v>Đạt</v>
      </c>
      <c r="K253" s="10"/>
      <c r="L253" s="96">
        <f t="shared" si="67"/>
        <v>50</v>
      </c>
      <c r="M253" s="113">
        <v>28.33</v>
      </c>
      <c r="N253" s="110">
        <v>21.67</v>
      </c>
      <c r="O253" s="15">
        <v>35.294117647058812</v>
      </c>
      <c r="P253" s="97">
        <v>96.666666666666671</v>
      </c>
      <c r="Q253" s="12">
        <f t="shared" si="71"/>
        <v>2</v>
      </c>
      <c r="R253" s="12" t="str">
        <f t="shared" si="72"/>
        <v>Đạt</v>
      </c>
      <c r="S253" s="10"/>
      <c r="T253" s="95"/>
    </row>
    <row r="254" spans="1:20" s="84" customFormat="1" ht="15.75" hidden="1" x14ac:dyDescent="0.25">
      <c r="A254" s="9" t="s">
        <v>164</v>
      </c>
      <c r="B254" s="1"/>
      <c r="C254" s="1" t="s">
        <v>653</v>
      </c>
      <c r="D254" s="15">
        <f t="shared" si="68"/>
        <v>60.6</v>
      </c>
      <c r="E254" s="11">
        <v>18.18</v>
      </c>
      <c r="F254" s="11">
        <v>42.42</v>
      </c>
      <c r="G254" s="15">
        <v>38.775510204081641</v>
      </c>
      <c r="H254" s="15">
        <v>100</v>
      </c>
      <c r="I254" s="12">
        <f t="shared" si="69"/>
        <v>2</v>
      </c>
      <c r="J254" s="12" t="str">
        <f t="shared" si="70"/>
        <v>Đạt</v>
      </c>
      <c r="K254" s="10"/>
      <c r="L254" s="96">
        <f t="shared" si="67"/>
        <v>60.6</v>
      </c>
      <c r="M254" s="113">
        <v>18.18</v>
      </c>
      <c r="N254" s="110">
        <v>42.42</v>
      </c>
      <c r="O254" s="15">
        <v>38.775510204081641</v>
      </c>
      <c r="P254" s="97">
        <v>96.969696969696969</v>
      </c>
      <c r="Q254" s="12">
        <f t="shared" si="71"/>
        <v>2</v>
      </c>
      <c r="R254" s="12" t="str">
        <f t="shared" si="72"/>
        <v>Đạt</v>
      </c>
      <c r="S254" s="10"/>
      <c r="T254" s="95"/>
    </row>
    <row r="255" spans="1:20" s="84" customFormat="1" ht="15.75" hidden="1" x14ac:dyDescent="0.25">
      <c r="A255" s="9" t="s">
        <v>165</v>
      </c>
      <c r="B255" s="1"/>
      <c r="C255" s="1" t="s">
        <v>654</v>
      </c>
      <c r="D255" s="15">
        <f t="shared" si="68"/>
        <v>97.139999999999986</v>
      </c>
      <c r="E255" s="11">
        <v>65.709999999999994</v>
      </c>
      <c r="F255" s="11">
        <v>31.43</v>
      </c>
      <c r="G255" s="15">
        <v>27.777777777777779</v>
      </c>
      <c r="H255" s="15">
        <v>100</v>
      </c>
      <c r="I255" s="12">
        <f t="shared" si="69"/>
        <v>2</v>
      </c>
      <c r="J255" s="12" t="str">
        <f t="shared" si="70"/>
        <v>Đạt</v>
      </c>
      <c r="K255" s="10"/>
      <c r="L255" s="96">
        <f t="shared" si="67"/>
        <v>97.139999999999986</v>
      </c>
      <c r="M255" s="113">
        <v>65.709999999999994</v>
      </c>
      <c r="N255" s="110">
        <v>31.43</v>
      </c>
      <c r="O255" s="15">
        <v>27.777777777777779</v>
      </c>
      <c r="P255" s="97">
        <v>100</v>
      </c>
      <c r="Q255" s="12">
        <f t="shared" si="71"/>
        <v>2</v>
      </c>
      <c r="R255" s="12" t="str">
        <f t="shared" si="72"/>
        <v>Đạt</v>
      </c>
      <c r="S255" s="10"/>
      <c r="T255" s="95"/>
    </row>
    <row r="256" spans="1:20" s="84" customFormat="1" ht="15.75" hidden="1" x14ac:dyDescent="0.25">
      <c r="A256" s="9" t="s">
        <v>166</v>
      </c>
      <c r="B256" s="1"/>
      <c r="C256" s="1" t="s">
        <v>655</v>
      </c>
      <c r="D256" s="15">
        <f t="shared" si="68"/>
        <v>70.59</v>
      </c>
      <c r="E256" s="11">
        <v>55.88</v>
      </c>
      <c r="F256" s="11">
        <v>14.71</v>
      </c>
      <c r="G256" s="15">
        <v>100</v>
      </c>
      <c r="H256" s="15">
        <v>100</v>
      </c>
      <c r="I256" s="12">
        <f t="shared" si="69"/>
        <v>1</v>
      </c>
      <c r="J256" s="12" t="str">
        <f t="shared" si="70"/>
        <v>Không đạt</v>
      </c>
      <c r="K256" s="10"/>
      <c r="L256" s="96">
        <f t="shared" si="67"/>
        <v>70.59</v>
      </c>
      <c r="M256" s="113">
        <v>55.88</v>
      </c>
      <c r="N256" s="110">
        <v>14.71</v>
      </c>
      <c r="O256" s="15">
        <v>100</v>
      </c>
      <c r="P256" s="97">
        <v>99.999999999999986</v>
      </c>
      <c r="Q256" s="12">
        <f t="shared" si="71"/>
        <v>1</v>
      </c>
      <c r="R256" s="12" t="str">
        <f t="shared" si="72"/>
        <v>Không đạt</v>
      </c>
      <c r="S256" s="10"/>
      <c r="T256" s="95"/>
    </row>
    <row r="257" spans="1:20" s="84" customFormat="1" ht="15.75" hidden="1" x14ac:dyDescent="0.25">
      <c r="A257" s="9" t="s">
        <v>167</v>
      </c>
      <c r="B257" s="1"/>
      <c r="C257" s="1" t="s">
        <v>656</v>
      </c>
      <c r="D257" s="15">
        <f t="shared" si="68"/>
        <v>55.739999999999995</v>
      </c>
      <c r="E257" s="11">
        <v>24.59</v>
      </c>
      <c r="F257" s="11">
        <v>31.15</v>
      </c>
      <c r="G257" s="15">
        <v>100</v>
      </c>
      <c r="H257" s="15">
        <v>100</v>
      </c>
      <c r="I257" s="12">
        <f t="shared" si="69"/>
        <v>1</v>
      </c>
      <c r="J257" s="12" t="str">
        <f t="shared" si="70"/>
        <v>Không đạt</v>
      </c>
      <c r="K257" s="10"/>
      <c r="L257" s="96">
        <f t="shared" si="67"/>
        <v>55.739999999999995</v>
      </c>
      <c r="M257" s="113">
        <v>24.59</v>
      </c>
      <c r="N257" s="110">
        <v>31.15</v>
      </c>
      <c r="O257" s="15">
        <v>100</v>
      </c>
      <c r="P257" s="97">
        <v>98.360655737704917</v>
      </c>
      <c r="Q257" s="12">
        <f t="shared" si="71"/>
        <v>1</v>
      </c>
      <c r="R257" s="12" t="str">
        <f t="shared" si="72"/>
        <v>Không đạt</v>
      </c>
      <c r="S257" s="10"/>
      <c r="T257" s="95"/>
    </row>
    <row r="258" spans="1:20" s="84" customFormat="1" ht="15.75" hidden="1" x14ac:dyDescent="0.25">
      <c r="A258" s="9" t="s">
        <v>168</v>
      </c>
      <c r="B258" s="1"/>
      <c r="C258" s="1" t="s">
        <v>1141</v>
      </c>
      <c r="D258" s="15">
        <f t="shared" si="68"/>
        <v>94.44</v>
      </c>
      <c r="E258" s="11">
        <v>42.59</v>
      </c>
      <c r="F258" s="11">
        <v>51.85</v>
      </c>
      <c r="G258" s="15">
        <v>50</v>
      </c>
      <c r="H258" s="15">
        <v>100</v>
      </c>
      <c r="I258" s="12">
        <f t="shared" si="69"/>
        <v>2</v>
      </c>
      <c r="J258" s="12" t="str">
        <f t="shared" si="70"/>
        <v>Đạt</v>
      </c>
      <c r="K258" s="10"/>
      <c r="L258" s="96">
        <f t="shared" si="67"/>
        <v>94.44</v>
      </c>
      <c r="M258" s="113">
        <v>42.59</v>
      </c>
      <c r="N258" s="110">
        <v>51.85</v>
      </c>
      <c r="O258" s="15">
        <v>50</v>
      </c>
      <c r="P258" s="97">
        <v>94.444444444444443</v>
      </c>
      <c r="Q258" s="12">
        <f t="shared" si="71"/>
        <v>2</v>
      </c>
      <c r="R258" s="12" t="str">
        <f t="shared" si="72"/>
        <v>Đạt</v>
      </c>
      <c r="S258" s="10"/>
      <c r="T258" s="95"/>
    </row>
    <row r="259" spans="1:20" s="84" customFormat="1" ht="15.75" hidden="1" x14ac:dyDescent="0.25">
      <c r="A259" s="9" t="s">
        <v>169</v>
      </c>
      <c r="B259" s="1"/>
      <c r="C259" s="1" t="s">
        <v>1142</v>
      </c>
      <c r="D259" s="15">
        <f t="shared" si="68"/>
        <v>74.510000000000005</v>
      </c>
      <c r="E259" s="11">
        <v>31.37</v>
      </c>
      <c r="F259" s="11">
        <v>43.14</v>
      </c>
      <c r="G259" s="15">
        <v>40</v>
      </c>
      <c r="H259" s="15">
        <v>100</v>
      </c>
      <c r="I259" s="12">
        <f t="shared" si="69"/>
        <v>2</v>
      </c>
      <c r="J259" s="12" t="str">
        <f t="shared" si="70"/>
        <v>Đạt</v>
      </c>
      <c r="K259" s="10"/>
      <c r="L259" s="96">
        <f t="shared" si="67"/>
        <v>74.510000000000005</v>
      </c>
      <c r="M259" s="113">
        <v>31.37</v>
      </c>
      <c r="N259" s="110">
        <v>43.14</v>
      </c>
      <c r="O259" s="15">
        <v>40</v>
      </c>
      <c r="P259" s="97">
        <v>96.078431372549019</v>
      </c>
      <c r="Q259" s="12">
        <f t="shared" si="71"/>
        <v>2</v>
      </c>
      <c r="R259" s="12" t="str">
        <f t="shared" si="72"/>
        <v>Đạt</v>
      </c>
      <c r="S259" s="10"/>
      <c r="T259" s="95"/>
    </row>
    <row r="260" spans="1:20" s="84" customFormat="1" ht="15.75" hidden="1" x14ac:dyDescent="0.25">
      <c r="A260" s="9" t="s">
        <v>170</v>
      </c>
      <c r="B260" s="1"/>
      <c r="C260" s="1" t="s">
        <v>657</v>
      </c>
      <c r="D260" s="15">
        <f t="shared" si="68"/>
        <v>100</v>
      </c>
      <c r="E260" s="11">
        <v>50.98</v>
      </c>
      <c r="F260" s="11">
        <v>49.02</v>
      </c>
      <c r="G260" s="15">
        <v>37.735849056603776</v>
      </c>
      <c r="H260" s="15">
        <v>100</v>
      </c>
      <c r="I260" s="12">
        <f t="shared" si="69"/>
        <v>2</v>
      </c>
      <c r="J260" s="12" t="str">
        <f t="shared" si="70"/>
        <v>Đạt</v>
      </c>
      <c r="K260" s="10"/>
      <c r="L260" s="96">
        <f t="shared" si="67"/>
        <v>100</v>
      </c>
      <c r="M260" s="113">
        <v>50.98</v>
      </c>
      <c r="N260" s="110">
        <v>49.02</v>
      </c>
      <c r="O260" s="15">
        <v>37.735849056603776</v>
      </c>
      <c r="P260" s="97">
        <v>100</v>
      </c>
      <c r="Q260" s="12">
        <f t="shared" si="71"/>
        <v>2</v>
      </c>
      <c r="R260" s="12" t="str">
        <f t="shared" si="72"/>
        <v>Đạt</v>
      </c>
      <c r="S260" s="10"/>
      <c r="T260" s="95"/>
    </row>
    <row r="261" spans="1:20" s="84" customFormat="1" ht="15.75" hidden="1" x14ac:dyDescent="0.25">
      <c r="A261" s="9" t="s">
        <v>171</v>
      </c>
      <c r="B261" s="1"/>
      <c r="C261" s="1" t="s">
        <v>658</v>
      </c>
      <c r="D261" s="15">
        <f t="shared" si="68"/>
        <v>6.42</v>
      </c>
      <c r="E261" s="11">
        <v>2.7</v>
      </c>
      <c r="F261" s="11">
        <v>3.72</v>
      </c>
      <c r="G261" s="15">
        <v>100</v>
      </c>
      <c r="H261" s="15">
        <v>100</v>
      </c>
      <c r="I261" s="12">
        <f t="shared" si="69"/>
        <v>0</v>
      </c>
      <c r="J261" s="12" t="str">
        <f t="shared" si="70"/>
        <v>Không đạt</v>
      </c>
      <c r="K261" s="10"/>
      <c r="L261" s="96">
        <f t="shared" si="67"/>
        <v>6.42</v>
      </c>
      <c r="M261" s="113">
        <v>2.7</v>
      </c>
      <c r="N261" s="110">
        <v>3.72</v>
      </c>
      <c r="O261" s="15">
        <v>100</v>
      </c>
      <c r="P261" s="97">
        <v>99.324324324324323</v>
      </c>
      <c r="Q261" s="12">
        <f t="shared" si="71"/>
        <v>0</v>
      </c>
      <c r="R261" s="12" t="str">
        <f t="shared" si="72"/>
        <v>Không đạt</v>
      </c>
      <c r="S261" s="10"/>
      <c r="T261" s="95"/>
    </row>
    <row r="262" spans="1:20" s="84" customFormat="1" ht="15.75" hidden="1" x14ac:dyDescent="0.25">
      <c r="A262" s="9" t="s">
        <v>172</v>
      </c>
      <c r="B262" s="1"/>
      <c r="C262" s="1" t="s">
        <v>659</v>
      </c>
      <c r="D262" s="15">
        <f t="shared" si="68"/>
        <v>33.33</v>
      </c>
      <c r="E262" s="11">
        <v>8.2100000000000009</v>
      </c>
      <c r="F262" s="11">
        <v>25.12</v>
      </c>
      <c r="G262" s="15">
        <v>76.744186046511629</v>
      </c>
      <c r="H262" s="15">
        <v>100</v>
      </c>
      <c r="I262" s="12">
        <f t="shared" si="69"/>
        <v>1</v>
      </c>
      <c r="J262" s="12" t="str">
        <f t="shared" si="70"/>
        <v>Không đạt</v>
      </c>
      <c r="K262" s="10"/>
      <c r="L262" s="96">
        <f t="shared" si="67"/>
        <v>33.33</v>
      </c>
      <c r="M262" s="113">
        <v>8.2100000000000009</v>
      </c>
      <c r="N262" s="110">
        <v>25.12</v>
      </c>
      <c r="O262" s="15">
        <v>76.744186046511629</v>
      </c>
      <c r="P262" s="97">
        <v>99.516908212560395</v>
      </c>
      <c r="Q262" s="12">
        <f t="shared" si="71"/>
        <v>1</v>
      </c>
      <c r="R262" s="12" t="str">
        <f t="shared" si="72"/>
        <v>Không đạt</v>
      </c>
      <c r="S262" s="10"/>
      <c r="T262" s="95"/>
    </row>
    <row r="263" spans="1:20" s="84" customFormat="1" ht="15.75" hidden="1" x14ac:dyDescent="0.25">
      <c r="A263" s="9" t="s">
        <v>173</v>
      </c>
      <c r="B263" s="1"/>
      <c r="C263" s="1" t="s">
        <v>660</v>
      </c>
      <c r="D263" s="15">
        <f t="shared" si="68"/>
        <v>34.07</v>
      </c>
      <c r="E263" s="11">
        <v>14.07</v>
      </c>
      <c r="F263" s="11">
        <v>20</v>
      </c>
      <c r="G263" s="15">
        <v>100</v>
      </c>
      <c r="H263" s="15">
        <v>100</v>
      </c>
      <c r="I263" s="12">
        <f t="shared" si="69"/>
        <v>1</v>
      </c>
      <c r="J263" s="12" t="str">
        <f t="shared" si="70"/>
        <v>Không đạt</v>
      </c>
      <c r="K263" s="10"/>
      <c r="L263" s="96">
        <f t="shared" si="67"/>
        <v>34.07</v>
      </c>
      <c r="M263" s="113">
        <v>14.07</v>
      </c>
      <c r="N263" s="110">
        <v>20</v>
      </c>
      <c r="O263" s="15">
        <v>100</v>
      </c>
      <c r="P263" s="97">
        <v>98.518518518518519</v>
      </c>
      <c r="Q263" s="12">
        <f t="shared" si="71"/>
        <v>1</v>
      </c>
      <c r="R263" s="12" t="str">
        <f t="shared" si="72"/>
        <v>Không đạt</v>
      </c>
      <c r="S263" s="10"/>
      <c r="T263" s="95"/>
    </row>
    <row r="264" spans="1:20" s="84" customFormat="1" ht="15.75" hidden="1" x14ac:dyDescent="0.25">
      <c r="A264" s="9" t="s">
        <v>174</v>
      </c>
      <c r="B264" s="1"/>
      <c r="C264" s="1" t="s">
        <v>661</v>
      </c>
      <c r="D264" s="15">
        <f t="shared" si="68"/>
        <v>3.86</v>
      </c>
      <c r="E264" s="11">
        <v>1.1000000000000001</v>
      </c>
      <c r="F264" s="11">
        <v>2.76</v>
      </c>
      <c r="G264" s="15">
        <v>100</v>
      </c>
      <c r="H264" s="15">
        <v>100</v>
      </c>
      <c r="I264" s="12">
        <f t="shared" si="69"/>
        <v>0</v>
      </c>
      <c r="J264" s="12" t="str">
        <f t="shared" si="70"/>
        <v>Không đạt</v>
      </c>
      <c r="K264" s="10"/>
      <c r="L264" s="96">
        <f t="shared" si="67"/>
        <v>3.86</v>
      </c>
      <c r="M264" s="113">
        <v>1.1000000000000001</v>
      </c>
      <c r="N264" s="110">
        <v>2.76</v>
      </c>
      <c r="O264" s="15">
        <v>100</v>
      </c>
      <c r="P264" s="97">
        <v>99.447513812154696</v>
      </c>
      <c r="Q264" s="12">
        <f t="shared" si="71"/>
        <v>0</v>
      </c>
      <c r="R264" s="12" t="str">
        <f t="shared" si="72"/>
        <v>Không đạt</v>
      </c>
      <c r="S264" s="10"/>
      <c r="T264" s="95"/>
    </row>
    <row r="265" spans="1:20" s="84" customFormat="1" ht="15.75" hidden="1" x14ac:dyDescent="0.25">
      <c r="A265" s="9" t="s">
        <v>175</v>
      </c>
      <c r="B265" s="1"/>
      <c r="C265" s="1" t="s">
        <v>662</v>
      </c>
      <c r="D265" s="15">
        <f t="shared" si="68"/>
        <v>49.01</v>
      </c>
      <c r="E265" s="11">
        <v>14.57</v>
      </c>
      <c r="F265" s="11">
        <v>34.44</v>
      </c>
      <c r="G265" s="15">
        <v>33.333333333333336</v>
      </c>
      <c r="H265" s="15">
        <v>100</v>
      </c>
      <c r="I265" s="12">
        <f t="shared" si="69"/>
        <v>2</v>
      </c>
      <c r="J265" s="12" t="str">
        <f t="shared" si="70"/>
        <v>Đạt</v>
      </c>
      <c r="K265" s="10"/>
      <c r="L265" s="96">
        <f t="shared" si="67"/>
        <v>49.01</v>
      </c>
      <c r="M265" s="113">
        <v>14.57</v>
      </c>
      <c r="N265" s="110">
        <v>34.44</v>
      </c>
      <c r="O265" s="15">
        <v>33.333333333333336</v>
      </c>
      <c r="P265" s="97">
        <v>98.013245033112582</v>
      </c>
      <c r="Q265" s="12">
        <f t="shared" si="71"/>
        <v>2</v>
      </c>
      <c r="R265" s="12" t="str">
        <f t="shared" si="72"/>
        <v>Đạt</v>
      </c>
      <c r="S265" s="10"/>
      <c r="T265" s="95"/>
    </row>
    <row r="266" spans="1:20" s="84" customFormat="1" ht="15.75" hidden="1" x14ac:dyDescent="0.25">
      <c r="A266" s="9" t="s">
        <v>176</v>
      </c>
      <c r="B266" s="1"/>
      <c r="C266" s="1" t="s">
        <v>663</v>
      </c>
      <c r="D266" s="15">
        <f t="shared" si="68"/>
        <v>9.5500000000000007</v>
      </c>
      <c r="E266" s="11">
        <v>3.44</v>
      </c>
      <c r="F266" s="11">
        <v>6.11</v>
      </c>
      <c r="G266" s="15">
        <v>100</v>
      </c>
      <c r="H266" s="15">
        <v>100</v>
      </c>
      <c r="I266" s="12">
        <f t="shared" si="69"/>
        <v>0</v>
      </c>
      <c r="J266" s="12" t="str">
        <f t="shared" si="70"/>
        <v>Không đạt</v>
      </c>
      <c r="K266" s="10"/>
      <c r="L266" s="96">
        <f t="shared" si="67"/>
        <v>9.5500000000000007</v>
      </c>
      <c r="M266" s="113">
        <v>3.44</v>
      </c>
      <c r="N266" s="110">
        <v>6.11</v>
      </c>
      <c r="O266" s="15">
        <v>100</v>
      </c>
      <c r="P266" s="97">
        <v>98.854961832061065</v>
      </c>
      <c r="Q266" s="12">
        <f t="shared" si="71"/>
        <v>0</v>
      </c>
      <c r="R266" s="12" t="str">
        <f t="shared" si="72"/>
        <v>Không đạt</v>
      </c>
      <c r="S266" s="10"/>
      <c r="T266" s="95"/>
    </row>
    <row r="267" spans="1:20" s="84" customFormat="1" ht="15.75" hidden="1" x14ac:dyDescent="0.25">
      <c r="A267" s="9" t="s">
        <v>177</v>
      </c>
      <c r="B267" s="1"/>
      <c r="C267" s="1" t="s">
        <v>664</v>
      </c>
      <c r="D267" s="15">
        <f t="shared" si="68"/>
        <v>17.47</v>
      </c>
      <c r="E267" s="11">
        <v>5.14</v>
      </c>
      <c r="F267" s="11">
        <v>12.33</v>
      </c>
      <c r="G267" s="15">
        <v>100</v>
      </c>
      <c r="H267" s="15">
        <v>100</v>
      </c>
      <c r="I267" s="12">
        <f t="shared" si="69"/>
        <v>1</v>
      </c>
      <c r="J267" s="12" t="str">
        <f t="shared" si="70"/>
        <v>Không đạt</v>
      </c>
      <c r="K267" s="10"/>
      <c r="L267" s="96">
        <f t="shared" si="67"/>
        <v>17.47</v>
      </c>
      <c r="M267" s="113">
        <v>5.14</v>
      </c>
      <c r="N267" s="110">
        <v>12.33</v>
      </c>
      <c r="O267" s="15">
        <v>100</v>
      </c>
      <c r="P267" s="97">
        <v>98.630136986301366</v>
      </c>
      <c r="Q267" s="12">
        <f t="shared" si="71"/>
        <v>1</v>
      </c>
      <c r="R267" s="12" t="str">
        <f t="shared" si="72"/>
        <v>Không đạt</v>
      </c>
      <c r="S267" s="10"/>
      <c r="T267" s="95"/>
    </row>
    <row r="268" spans="1:20" s="84" customFormat="1" ht="15.75" hidden="1" x14ac:dyDescent="0.25">
      <c r="A268" s="9" t="s">
        <v>178</v>
      </c>
      <c r="B268" s="1"/>
      <c r="C268" s="1" t="s">
        <v>665</v>
      </c>
      <c r="D268" s="15">
        <f t="shared" si="68"/>
        <v>37.07</v>
      </c>
      <c r="E268" s="11">
        <v>7.76</v>
      </c>
      <c r="F268" s="11">
        <v>29.31</v>
      </c>
      <c r="G268" s="15">
        <v>100</v>
      </c>
      <c r="H268" s="15">
        <v>100</v>
      </c>
      <c r="I268" s="12">
        <f t="shared" si="69"/>
        <v>1</v>
      </c>
      <c r="J268" s="12" t="str">
        <f t="shared" si="70"/>
        <v>Không đạt</v>
      </c>
      <c r="K268" s="10"/>
      <c r="L268" s="96">
        <f t="shared" si="67"/>
        <v>37.07</v>
      </c>
      <c r="M268" s="113">
        <v>7.76</v>
      </c>
      <c r="N268" s="110">
        <v>29.31</v>
      </c>
      <c r="O268" s="15">
        <v>100</v>
      </c>
      <c r="P268" s="97">
        <v>98.275862068965523</v>
      </c>
      <c r="Q268" s="12">
        <f t="shared" si="71"/>
        <v>1</v>
      </c>
      <c r="R268" s="12" t="str">
        <f t="shared" si="72"/>
        <v>Không đạt</v>
      </c>
      <c r="S268" s="10"/>
      <c r="T268" s="95"/>
    </row>
    <row r="269" spans="1:20" s="84" customFormat="1" ht="15.75" hidden="1" x14ac:dyDescent="0.25">
      <c r="A269" s="9" t="s">
        <v>179</v>
      </c>
      <c r="B269" s="1"/>
      <c r="C269" s="1" t="s">
        <v>666</v>
      </c>
      <c r="D269" s="15">
        <f t="shared" si="68"/>
        <v>97.44</v>
      </c>
      <c r="E269" s="11">
        <v>30.77</v>
      </c>
      <c r="F269" s="11">
        <v>66.67</v>
      </c>
      <c r="G269" s="15">
        <v>27.777777777777779</v>
      </c>
      <c r="H269" s="15">
        <v>100</v>
      </c>
      <c r="I269" s="12">
        <f t="shared" si="69"/>
        <v>2</v>
      </c>
      <c r="J269" s="12" t="str">
        <f t="shared" si="70"/>
        <v>Đạt</v>
      </c>
      <c r="K269" s="10"/>
      <c r="L269" s="96">
        <f t="shared" si="67"/>
        <v>97.44</v>
      </c>
      <c r="M269" s="113">
        <v>30.77</v>
      </c>
      <c r="N269" s="110">
        <v>66.67</v>
      </c>
      <c r="O269" s="15">
        <v>27.777777777777779</v>
      </c>
      <c r="P269" s="97">
        <v>97.435897435897431</v>
      </c>
      <c r="Q269" s="12">
        <f t="shared" si="71"/>
        <v>2</v>
      </c>
      <c r="R269" s="12" t="str">
        <f t="shared" si="72"/>
        <v>Đạt</v>
      </c>
      <c r="S269" s="10"/>
      <c r="T269" s="95"/>
    </row>
    <row r="270" spans="1:20" s="84" customFormat="1" ht="15.75" hidden="1" x14ac:dyDescent="0.25">
      <c r="A270" s="9" t="s">
        <v>180</v>
      </c>
      <c r="B270" s="1"/>
      <c r="C270" s="1" t="s">
        <v>667</v>
      </c>
      <c r="D270" s="15">
        <f t="shared" si="68"/>
        <v>88.71</v>
      </c>
      <c r="E270" s="11">
        <v>24.19</v>
      </c>
      <c r="F270" s="11">
        <v>64.52</v>
      </c>
      <c r="G270" s="15">
        <v>36.507936507936513</v>
      </c>
      <c r="H270" s="15">
        <v>100</v>
      </c>
      <c r="I270" s="12">
        <f t="shared" si="69"/>
        <v>2</v>
      </c>
      <c r="J270" s="12" t="str">
        <f t="shared" si="70"/>
        <v>Đạt</v>
      </c>
      <c r="K270" s="10"/>
      <c r="L270" s="96">
        <f t="shared" si="67"/>
        <v>88.71</v>
      </c>
      <c r="M270" s="113">
        <v>24.19</v>
      </c>
      <c r="N270" s="110">
        <v>64.52</v>
      </c>
      <c r="O270" s="15">
        <v>36.507936507936513</v>
      </c>
      <c r="P270" s="97">
        <v>96.774193548387103</v>
      </c>
      <c r="Q270" s="12">
        <f t="shared" si="71"/>
        <v>2</v>
      </c>
      <c r="R270" s="12" t="str">
        <f t="shared" si="72"/>
        <v>Đạt</v>
      </c>
      <c r="S270" s="10"/>
      <c r="T270" s="95"/>
    </row>
    <row r="271" spans="1:20" s="84" customFormat="1" ht="15.75" hidden="1" x14ac:dyDescent="0.25">
      <c r="A271" s="9" t="s">
        <v>181</v>
      </c>
      <c r="B271" s="1"/>
      <c r="C271" s="1" t="s">
        <v>668</v>
      </c>
      <c r="D271" s="15">
        <f t="shared" si="68"/>
        <v>53.93</v>
      </c>
      <c r="E271" s="11">
        <v>19.100000000000001</v>
      </c>
      <c r="F271" s="11">
        <v>34.83</v>
      </c>
      <c r="G271" s="15">
        <v>99.999999999999972</v>
      </c>
      <c r="H271" s="15">
        <v>100</v>
      </c>
      <c r="I271" s="12">
        <f t="shared" si="69"/>
        <v>1</v>
      </c>
      <c r="J271" s="12" t="str">
        <f t="shared" si="70"/>
        <v>Không đạt</v>
      </c>
      <c r="K271" s="10"/>
      <c r="L271" s="96">
        <f t="shared" si="67"/>
        <v>53.93</v>
      </c>
      <c r="M271" s="113">
        <v>19.100000000000001</v>
      </c>
      <c r="N271" s="110">
        <v>34.83</v>
      </c>
      <c r="O271" s="15">
        <v>99.999999999999972</v>
      </c>
      <c r="P271" s="97">
        <v>96.62921348314606</v>
      </c>
      <c r="Q271" s="12">
        <f t="shared" si="71"/>
        <v>1</v>
      </c>
      <c r="R271" s="12" t="str">
        <f t="shared" si="72"/>
        <v>Không đạt</v>
      </c>
      <c r="S271" s="10"/>
      <c r="T271" s="95"/>
    </row>
    <row r="272" spans="1:20" s="84" customFormat="1" ht="15.75" hidden="1" x14ac:dyDescent="0.25">
      <c r="A272" s="9" t="s">
        <v>182</v>
      </c>
      <c r="B272" s="1"/>
      <c r="C272" s="1" t="s">
        <v>1146</v>
      </c>
      <c r="D272" s="15">
        <f t="shared" si="68"/>
        <v>52.44</v>
      </c>
      <c r="E272" s="11">
        <v>21.95</v>
      </c>
      <c r="F272" s="11">
        <v>30.49</v>
      </c>
      <c r="G272" s="15">
        <v>30.76923076923077</v>
      </c>
      <c r="H272" s="15">
        <v>100</v>
      </c>
      <c r="I272" s="12">
        <f t="shared" si="69"/>
        <v>2</v>
      </c>
      <c r="J272" s="12" t="str">
        <f t="shared" si="70"/>
        <v>Đạt</v>
      </c>
      <c r="K272" s="10"/>
      <c r="L272" s="96">
        <f t="shared" si="67"/>
        <v>52.44</v>
      </c>
      <c r="M272" s="113">
        <v>21.95</v>
      </c>
      <c r="N272" s="110">
        <v>30.49</v>
      </c>
      <c r="O272" s="15">
        <v>30.76923076923077</v>
      </c>
      <c r="P272" s="97">
        <v>97.560975609756099</v>
      </c>
      <c r="Q272" s="12">
        <f t="shared" si="71"/>
        <v>2</v>
      </c>
      <c r="R272" s="12" t="str">
        <f t="shared" si="72"/>
        <v>Đạt</v>
      </c>
      <c r="S272" s="10"/>
      <c r="T272" s="95"/>
    </row>
    <row r="273" spans="1:20" s="84" customFormat="1" ht="15.75" hidden="1" x14ac:dyDescent="0.25">
      <c r="A273" s="9" t="s">
        <v>183</v>
      </c>
      <c r="B273" s="1"/>
      <c r="C273" s="1" t="s">
        <v>669</v>
      </c>
      <c r="D273" s="15">
        <f t="shared" si="68"/>
        <v>3.31</v>
      </c>
      <c r="E273" s="11">
        <v>0.66</v>
      </c>
      <c r="F273" s="11">
        <v>2.65</v>
      </c>
      <c r="G273" s="15">
        <v>100</v>
      </c>
      <c r="H273" s="15">
        <v>100</v>
      </c>
      <c r="I273" s="12">
        <f t="shared" si="69"/>
        <v>0</v>
      </c>
      <c r="J273" s="12" t="str">
        <f t="shared" si="70"/>
        <v>Không đạt</v>
      </c>
      <c r="K273" s="10"/>
      <c r="L273" s="96">
        <f t="shared" si="67"/>
        <v>3.31</v>
      </c>
      <c r="M273" s="113">
        <v>0.66</v>
      </c>
      <c r="N273" s="110">
        <v>2.65</v>
      </c>
      <c r="O273" s="15">
        <v>100</v>
      </c>
      <c r="P273" s="97">
        <v>97.350993377483448</v>
      </c>
      <c r="Q273" s="12">
        <f t="shared" si="71"/>
        <v>0</v>
      </c>
      <c r="R273" s="12" t="str">
        <f t="shared" si="72"/>
        <v>Không đạt</v>
      </c>
      <c r="S273" s="10"/>
      <c r="T273" s="95"/>
    </row>
    <row r="274" spans="1:20" s="84" customFormat="1" ht="15.75" hidden="1" x14ac:dyDescent="0.25">
      <c r="A274" s="9" t="s">
        <v>184</v>
      </c>
      <c r="B274" s="1"/>
      <c r="C274" s="1" t="s">
        <v>670</v>
      </c>
      <c r="D274" s="15">
        <f t="shared" si="68"/>
        <v>50.68493150684931</v>
      </c>
      <c r="E274" s="11">
        <v>27.397260273972602</v>
      </c>
      <c r="F274" s="11">
        <v>23.287671232876711</v>
      </c>
      <c r="G274" s="15">
        <v>35.2112676056338</v>
      </c>
      <c r="H274" s="15">
        <v>100</v>
      </c>
      <c r="I274" s="12">
        <f t="shared" si="69"/>
        <v>2</v>
      </c>
      <c r="J274" s="12" t="str">
        <f t="shared" si="70"/>
        <v>Đạt</v>
      </c>
      <c r="K274" s="10"/>
      <c r="L274" s="96">
        <f t="shared" si="67"/>
        <v>50.69</v>
      </c>
      <c r="M274" s="113">
        <v>27.4</v>
      </c>
      <c r="N274" s="110">
        <v>23.29</v>
      </c>
      <c r="O274" s="15">
        <v>35.2112676056338</v>
      </c>
      <c r="P274" s="97">
        <v>97.260273972602747</v>
      </c>
      <c r="Q274" s="12">
        <f t="shared" si="71"/>
        <v>2</v>
      </c>
      <c r="R274" s="12" t="str">
        <f t="shared" si="72"/>
        <v>Đạt</v>
      </c>
      <c r="S274" s="10"/>
      <c r="T274" s="95"/>
    </row>
    <row r="275" spans="1:20" s="84" customFormat="1" ht="15.75" hidden="1" x14ac:dyDescent="0.25">
      <c r="A275" s="9" t="s">
        <v>185</v>
      </c>
      <c r="B275" s="1"/>
      <c r="C275" s="1" t="s">
        <v>671</v>
      </c>
      <c r="D275" s="15">
        <f t="shared" si="68"/>
        <v>49.019607843137251</v>
      </c>
      <c r="E275" s="11">
        <v>31.372549019607842</v>
      </c>
      <c r="F275" s="11">
        <v>17.647058823529413</v>
      </c>
      <c r="G275" s="15">
        <v>25.925925925925899</v>
      </c>
      <c r="H275" s="15">
        <v>100</v>
      </c>
      <c r="I275" s="12">
        <f t="shared" si="69"/>
        <v>2</v>
      </c>
      <c r="J275" s="12" t="str">
        <f t="shared" si="70"/>
        <v>Đạt</v>
      </c>
      <c r="K275" s="10"/>
      <c r="L275" s="96">
        <f t="shared" si="67"/>
        <v>49.019999999999996</v>
      </c>
      <c r="M275" s="113">
        <v>31.37</v>
      </c>
      <c r="N275" s="110">
        <v>17.649999999999999</v>
      </c>
      <c r="O275" s="15">
        <v>25.925925925925899</v>
      </c>
      <c r="P275" s="97">
        <v>94.117647058823522</v>
      </c>
      <c r="Q275" s="12">
        <f t="shared" si="71"/>
        <v>2</v>
      </c>
      <c r="R275" s="12" t="str">
        <f t="shared" si="72"/>
        <v>Đạt</v>
      </c>
      <c r="S275" s="10"/>
      <c r="T275" s="95"/>
    </row>
    <row r="276" spans="1:20" s="84" customFormat="1" ht="15.75" hidden="1" x14ac:dyDescent="0.25">
      <c r="A276" s="9" t="s">
        <v>186</v>
      </c>
      <c r="B276" s="1"/>
      <c r="C276" s="1" t="s">
        <v>672</v>
      </c>
      <c r="D276" s="15">
        <f t="shared" si="68"/>
        <v>76.19047619047619</v>
      </c>
      <c r="E276" s="11">
        <v>45.238095238095241</v>
      </c>
      <c r="F276" s="11">
        <v>30.952380952380953</v>
      </c>
      <c r="G276" s="15">
        <v>14.285714285714301</v>
      </c>
      <c r="H276" s="15">
        <v>100</v>
      </c>
      <c r="I276" s="12">
        <f t="shared" si="69"/>
        <v>2</v>
      </c>
      <c r="J276" s="12" t="str">
        <f t="shared" si="70"/>
        <v>Đạt</v>
      </c>
      <c r="K276" s="10"/>
      <c r="L276" s="96">
        <f t="shared" si="67"/>
        <v>76.19</v>
      </c>
      <c r="M276" s="113">
        <v>45.24</v>
      </c>
      <c r="N276" s="110">
        <v>30.95</v>
      </c>
      <c r="O276" s="15">
        <v>14.285714285714301</v>
      </c>
      <c r="P276" s="97">
        <v>96.428571428571431</v>
      </c>
      <c r="Q276" s="12">
        <f t="shared" si="71"/>
        <v>2</v>
      </c>
      <c r="R276" s="12" t="str">
        <f t="shared" si="72"/>
        <v>Đạt</v>
      </c>
      <c r="S276" s="10"/>
      <c r="T276" s="95"/>
    </row>
    <row r="277" spans="1:20" s="84" customFormat="1" ht="15.75" hidden="1" x14ac:dyDescent="0.25">
      <c r="A277" s="9" t="s">
        <v>187</v>
      </c>
      <c r="B277" s="1"/>
      <c r="C277" s="1" t="s">
        <v>673</v>
      </c>
      <c r="D277" s="15">
        <f t="shared" si="68"/>
        <v>63.865546218487395</v>
      </c>
      <c r="E277" s="11">
        <v>38.655462184873954</v>
      </c>
      <c r="F277" s="11">
        <v>25.210084033613445</v>
      </c>
      <c r="G277" s="15">
        <v>25</v>
      </c>
      <c r="H277" s="15">
        <v>100</v>
      </c>
      <c r="I277" s="12">
        <f t="shared" si="69"/>
        <v>2</v>
      </c>
      <c r="J277" s="12" t="str">
        <f t="shared" si="70"/>
        <v>Đạt</v>
      </c>
      <c r="K277" s="10"/>
      <c r="L277" s="96">
        <f t="shared" si="67"/>
        <v>63.87</v>
      </c>
      <c r="M277" s="113">
        <v>38.659999999999997</v>
      </c>
      <c r="N277" s="110">
        <v>25.21</v>
      </c>
      <c r="O277" s="15">
        <v>25</v>
      </c>
      <c r="P277" s="97">
        <v>97.457627118644069</v>
      </c>
      <c r="Q277" s="12">
        <f t="shared" si="71"/>
        <v>2</v>
      </c>
      <c r="R277" s="12" t="str">
        <f t="shared" si="72"/>
        <v>Đạt</v>
      </c>
      <c r="S277" s="10"/>
      <c r="T277" s="95"/>
    </row>
    <row r="278" spans="1:20" s="84" customFormat="1" ht="15.75" hidden="1" x14ac:dyDescent="0.25">
      <c r="A278" s="9" t="s">
        <v>188</v>
      </c>
      <c r="B278" s="1"/>
      <c r="C278" s="1" t="s">
        <v>674</v>
      </c>
      <c r="D278" s="15">
        <f t="shared" si="68"/>
        <v>73.214285714285722</v>
      </c>
      <c r="E278" s="11">
        <v>50</v>
      </c>
      <c r="F278" s="11">
        <v>23.214285714285715</v>
      </c>
      <c r="G278" s="15">
        <v>21.052631578947366</v>
      </c>
      <c r="H278" s="15">
        <v>100</v>
      </c>
      <c r="I278" s="12">
        <f t="shared" si="69"/>
        <v>2</v>
      </c>
      <c r="J278" s="12" t="str">
        <f t="shared" si="70"/>
        <v>Đạt</v>
      </c>
      <c r="K278" s="10"/>
      <c r="L278" s="96">
        <f t="shared" si="67"/>
        <v>73.210000000000008</v>
      </c>
      <c r="M278" s="113">
        <v>50</v>
      </c>
      <c r="N278" s="110">
        <v>23.21</v>
      </c>
      <c r="O278" s="15">
        <v>21.052631578947366</v>
      </c>
      <c r="P278" s="97">
        <v>96.428571428571416</v>
      </c>
      <c r="Q278" s="12">
        <f t="shared" si="71"/>
        <v>2</v>
      </c>
      <c r="R278" s="12" t="str">
        <f t="shared" si="72"/>
        <v>Đạt</v>
      </c>
      <c r="S278" s="10"/>
      <c r="T278" s="95"/>
    </row>
    <row r="279" spans="1:20" s="84" customFormat="1" ht="15.75" hidden="1" x14ac:dyDescent="0.25">
      <c r="A279" s="9" t="s">
        <v>189</v>
      </c>
      <c r="B279" s="1"/>
      <c r="C279" s="1" t="s">
        <v>675</v>
      </c>
      <c r="D279" s="15">
        <f t="shared" si="68"/>
        <v>36.585365853658537</v>
      </c>
      <c r="E279" s="11">
        <v>12.195121951219512</v>
      </c>
      <c r="F279" s="11">
        <v>24.390243902439025</v>
      </c>
      <c r="G279" s="15">
        <v>35.714285714285708</v>
      </c>
      <c r="H279" s="15">
        <v>100</v>
      </c>
      <c r="I279" s="12">
        <f t="shared" si="69"/>
        <v>2</v>
      </c>
      <c r="J279" s="12" t="str">
        <f t="shared" si="70"/>
        <v>Đạt</v>
      </c>
      <c r="K279" s="10"/>
      <c r="L279" s="96">
        <f t="shared" si="67"/>
        <v>36.590000000000003</v>
      </c>
      <c r="M279" s="113">
        <v>12.2</v>
      </c>
      <c r="N279" s="110">
        <v>24.39</v>
      </c>
      <c r="O279" s="15">
        <v>35.714285714285708</v>
      </c>
      <c r="P279" s="97">
        <v>95.121951219512198</v>
      </c>
      <c r="Q279" s="12">
        <f t="shared" si="71"/>
        <v>2</v>
      </c>
      <c r="R279" s="12" t="str">
        <f t="shared" si="72"/>
        <v>Đạt</v>
      </c>
      <c r="S279" s="10"/>
      <c r="T279" s="95"/>
    </row>
    <row r="280" spans="1:20" s="84" customFormat="1" ht="15.75" hidden="1" x14ac:dyDescent="0.25">
      <c r="A280" s="9" t="s">
        <v>190</v>
      </c>
      <c r="B280" s="1"/>
      <c r="C280" s="1" t="s">
        <v>677</v>
      </c>
      <c r="D280" s="15">
        <f t="shared" si="68"/>
        <v>70.909090909090907</v>
      </c>
      <c r="E280" s="11">
        <v>58.18181818181818</v>
      </c>
      <c r="F280" s="11">
        <v>12.727272727272727</v>
      </c>
      <c r="G280" s="15">
        <v>30.76923076923077</v>
      </c>
      <c r="H280" s="15">
        <v>100</v>
      </c>
      <c r="I280" s="12">
        <f t="shared" si="69"/>
        <v>2</v>
      </c>
      <c r="J280" s="12" t="str">
        <f t="shared" si="70"/>
        <v>Đạt</v>
      </c>
      <c r="K280" s="10"/>
      <c r="L280" s="96">
        <f t="shared" si="67"/>
        <v>70.91</v>
      </c>
      <c r="M280" s="113">
        <v>58.18</v>
      </c>
      <c r="N280" s="110">
        <v>12.73</v>
      </c>
      <c r="O280" s="15">
        <v>30.76923076923077</v>
      </c>
      <c r="P280" s="97">
        <v>94.545454545454533</v>
      </c>
      <c r="Q280" s="12">
        <f t="shared" si="71"/>
        <v>2</v>
      </c>
      <c r="R280" s="12" t="str">
        <f t="shared" si="72"/>
        <v>Đạt</v>
      </c>
      <c r="S280" s="10"/>
      <c r="T280" s="95"/>
    </row>
    <row r="281" spans="1:20" s="84" customFormat="1" ht="15.75" hidden="1" x14ac:dyDescent="0.25">
      <c r="A281" s="9" t="s">
        <v>191</v>
      </c>
      <c r="B281" s="1"/>
      <c r="C281" s="1" t="s">
        <v>676</v>
      </c>
      <c r="D281" s="15">
        <f t="shared" si="68"/>
        <v>47.727272727272734</v>
      </c>
      <c r="E281" s="11">
        <v>29.545454545454547</v>
      </c>
      <c r="F281" s="11">
        <v>18.181818181818183</v>
      </c>
      <c r="G281" s="15">
        <v>28.571428571428569</v>
      </c>
      <c r="H281" s="15">
        <v>100</v>
      </c>
      <c r="I281" s="12">
        <f t="shared" si="69"/>
        <v>2</v>
      </c>
      <c r="J281" s="12" t="str">
        <f t="shared" si="70"/>
        <v>Đạt</v>
      </c>
      <c r="K281" s="10"/>
      <c r="L281" s="96">
        <f t="shared" si="67"/>
        <v>47.730000000000004</v>
      </c>
      <c r="M281" s="113">
        <v>29.55</v>
      </c>
      <c r="N281" s="110">
        <v>18.18</v>
      </c>
      <c r="O281" s="15">
        <v>28.571428571428569</v>
      </c>
      <c r="P281" s="97">
        <v>97.727272727272734</v>
      </c>
      <c r="Q281" s="12">
        <f t="shared" si="71"/>
        <v>2</v>
      </c>
      <c r="R281" s="12" t="str">
        <f t="shared" si="72"/>
        <v>Đạt</v>
      </c>
      <c r="S281" s="10"/>
      <c r="T281" s="95"/>
    </row>
    <row r="282" spans="1:20" s="84" customFormat="1" ht="15.75" hidden="1" x14ac:dyDescent="0.25">
      <c r="A282" s="9" t="s">
        <v>192</v>
      </c>
      <c r="B282" s="1"/>
      <c r="C282" s="1" t="s">
        <v>678</v>
      </c>
      <c r="D282" s="15">
        <f t="shared" si="68"/>
        <v>85.4166666666667</v>
      </c>
      <c r="E282" s="11">
        <v>47.9166666666667</v>
      </c>
      <c r="F282" s="11">
        <v>37.5</v>
      </c>
      <c r="G282" s="15">
        <v>33.333333333333336</v>
      </c>
      <c r="H282" s="15">
        <v>100</v>
      </c>
      <c r="I282" s="12">
        <f t="shared" si="69"/>
        <v>2</v>
      </c>
      <c r="J282" s="12" t="str">
        <f t="shared" si="70"/>
        <v>Đạt</v>
      </c>
      <c r="K282" s="10"/>
      <c r="L282" s="96">
        <f t="shared" si="67"/>
        <v>85.42</v>
      </c>
      <c r="M282" s="113">
        <v>47.92</v>
      </c>
      <c r="N282" s="110">
        <v>37.5</v>
      </c>
      <c r="O282" s="15">
        <v>33.333333333333336</v>
      </c>
      <c r="P282" s="97">
        <v>97.916666666666671</v>
      </c>
      <c r="Q282" s="12">
        <f t="shared" si="71"/>
        <v>2</v>
      </c>
      <c r="R282" s="12" t="str">
        <f t="shared" si="72"/>
        <v>Đạt</v>
      </c>
      <c r="S282" s="10"/>
      <c r="T282" s="95"/>
    </row>
    <row r="283" spans="1:20" s="84" customFormat="1" ht="15.75" hidden="1" x14ac:dyDescent="0.25">
      <c r="A283" s="9" t="s">
        <v>193</v>
      </c>
      <c r="B283" s="1"/>
      <c r="C283" s="1" t="s">
        <v>679</v>
      </c>
      <c r="D283" s="15">
        <f t="shared" si="68"/>
        <v>89.13</v>
      </c>
      <c r="E283" s="11">
        <v>45.65</v>
      </c>
      <c r="F283" s="11">
        <v>43.48</v>
      </c>
      <c r="G283" s="15">
        <v>30.303030303030308</v>
      </c>
      <c r="H283" s="15">
        <v>100</v>
      </c>
      <c r="I283" s="12">
        <f t="shared" si="69"/>
        <v>2</v>
      </c>
      <c r="J283" s="12" t="str">
        <f t="shared" si="70"/>
        <v>Đạt</v>
      </c>
      <c r="K283" s="10"/>
      <c r="L283" s="96">
        <f t="shared" si="67"/>
        <v>89.13</v>
      </c>
      <c r="M283" s="113">
        <v>45.65</v>
      </c>
      <c r="N283" s="110">
        <v>43.48</v>
      </c>
      <c r="O283" s="15">
        <v>30.303030303030308</v>
      </c>
      <c r="P283" s="97">
        <v>96.739130434782609</v>
      </c>
      <c r="Q283" s="12">
        <f t="shared" si="71"/>
        <v>2</v>
      </c>
      <c r="R283" s="12" t="str">
        <f t="shared" si="72"/>
        <v>Đạt</v>
      </c>
      <c r="S283" s="10"/>
      <c r="T283" s="95"/>
    </row>
    <row r="284" spans="1:20" s="84" customFormat="1" ht="15.75" hidden="1" x14ac:dyDescent="0.25">
      <c r="A284" s="9" t="s">
        <v>194</v>
      </c>
      <c r="B284" s="1"/>
      <c r="C284" s="1" t="s">
        <v>680</v>
      </c>
      <c r="D284" s="15">
        <f t="shared" si="68"/>
        <v>80.760000000000005</v>
      </c>
      <c r="E284" s="11">
        <v>26.92</v>
      </c>
      <c r="F284" s="11">
        <v>53.84</v>
      </c>
      <c r="G284" s="15">
        <v>26.666666666666671</v>
      </c>
      <c r="H284" s="15">
        <v>100</v>
      </c>
      <c r="I284" s="12">
        <f t="shared" si="69"/>
        <v>2</v>
      </c>
      <c r="J284" s="12" t="str">
        <f t="shared" si="70"/>
        <v>Đạt</v>
      </c>
      <c r="K284" s="10"/>
      <c r="L284" s="96">
        <f t="shared" si="67"/>
        <v>80.760000000000005</v>
      </c>
      <c r="M284" s="113">
        <v>26.92</v>
      </c>
      <c r="N284" s="110">
        <v>53.84</v>
      </c>
      <c r="O284" s="15">
        <v>26.666666666666671</v>
      </c>
      <c r="P284" s="97">
        <v>96.153846153846146</v>
      </c>
      <c r="Q284" s="12">
        <f t="shared" si="71"/>
        <v>2</v>
      </c>
      <c r="R284" s="12" t="str">
        <f t="shared" si="72"/>
        <v>Đạt</v>
      </c>
      <c r="S284" s="10"/>
      <c r="T284" s="95"/>
    </row>
    <row r="285" spans="1:20" s="84" customFormat="1" ht="15.75" hidden="1" x14ac:dyDescent="0.25">
      <c r="A285" s="9" t="s">
        <v>195</v>
      </c>
      <c r="B285" s="1"/>
      <c r="C285" s="1" t="s">
        <v>681</v>
      </c>
      <c r="D285" s="15">
        <f t="shared" si="68"/>
        <v>67.857142857142861</v>
      </c>
      <c r="E285" s="11">
        <v>26.785714285714285</v>
      </c>
      <c r="F285" s="11">
        <v>41.071428571428569</v>
      </c>
      <c r="G285" s="15">
        <v>37.5</v>
      </c>
      <c r="H285" s="15">
        <v>100</v>
      </c>
      <c r="I285" s="12">
        <f t="shared" si="69"/>
        <v>2</v>
      </c>
      <c r="J285" s="12" t="str">
        <f t="shared" si="70"/>
        <v>Đạt</v>
      </c>
      <c r="K285" s="10"/>
      <c r="L285" s="96">
        <f t="shared" si="67"/>
        <v>67.86</v>
      </c>
      <c r="M285" s="113">
        <v>26.79</v>
      </c>
      <c r="N285" s="110">
        <v>41.07</v>
      </c>
      <c r="O285" s="15">
        <v>37.5</v>
      </c>
      <c r="P285" s="97">
        <v>96.428571428571416</v>
      </c>
      <c r="Q285" s="12">
        <f t="shared" si="71"/>
        <v>2</v>
      </c>
      <c r="R285" s="12" t="str">
        <f t="shared" si="72"/>
        <v>Đạt</v>
      </c>
      <c r="S285" s="10"/>
      <c r="T285" s="95"/>
    </row>
    <row r="286" spans="1:20" s="84" customFormat="1" ht="15.75" hidden="1" x14ac:dyDescent="0.25">
      <c r="A286" s="9" t="s">
        <v>196</v>
      </c>
      <c r="B286" s="1"/>
      <c r="C286" s="1" t="s">
        <v>682</v>
      </c>
      <c r="D286" s="15">
        <f t="shared" si="68"/>
        <v>69</v>
      </c>
      <c r="E286" s="11">
        <v>25</v>
      </c>
      <c r="F286" s="11">
        <v>44</v>
      </c>
      <c r="G286" s="15">
        <v>33.333333333333336</v>
      </c>
      <c r="H286" s="15">
        <v>100</v>
      </c>
      <c r="I286" s="12">
        <f t="shared" si="69"/>
        <v>2</v>
      </c>
      <c r="J286" s="12" t="str">
        <f t="shared" si="70"/>
        <v>Đạt</v>
      </c>
      <c r="K286" s="10"/>
      <c r="L286" s="96">
        <f t="shared" si="67"/>
        <v>69</v>
      </c>
      <c r="M286" s="113">
        <v>25</v>
      </c>
      <c r="N286" s="110">
        <v>44</v>
      </c>
      <c r="O286" s="15">
        <v>33.333333333333336</v>
      </c>
      <c r="P286" s="97">
        <v>96</v>
      </c>
      <c r="Q286" s="12">
        <f t="shared" si="71"/>
        <v>2</v>
      </c>
      <c r="R286" s="12" t="str">
        <f t="shared" si="72"/>
        <v>Đạt</v>
      </c>
      <c r="S286" s="10"/>
      <c r="T286" s="95"/>
    </row>
    <row r="287" spans="1:20" s="84" customFormat="1" ht="15.75" hidden="1" x14ac:dyDescent="0.25">
      <c r="A287" s="9" t="s">
        <v>197</v>
      </c>
      <c r="B287" s="1"/>
      <c r="C287" s="1" t="s">
        <v>683</v>
      </c>
      <c r="D287" s="15">
        <f t="shared" si="68"/>
        <v>79.411764705882348</v>
      </c>
      <c r="E287" s="11">
        <v>38.235294117647058</v>
      </c>
      <c r="F287" s="11">
        <v>41.17647058823529</v>
      </c>
      <c r="G287" s="15">
        <v>33.333333333333329</v>
      </c>
      <c r="H287" s="15">
        <v>100</v>
      </c>
      <c r="I287" s="12">
        <f t="shared" si="69"/>
        <v>2</v>
      </c>
      <c r="J287" s="12" t="str">
        <f t="shared" si="70"/>
        <v>Đạt</v>
      </c>
      <c r="K287" s="10"/>
      <c r="L287" s="96">
        <f t="shared" si="67"/>
        <v>79.42</v>
      </c>
      <c r="M287" s="113">
        <v>38.24</v>
      </c>
      <c r="N287" s="110">
        <v>41.18</v>
      </c>
      <c r="O287" s="15">
        <v>33.333333333333329</v>
      </c>
      <c r="P287" s="97">
        <v>95.098039215686271</v>
      </c>
      <c r="Q287" s="12">
        <f t="shared" si="71"/>
        <v>2</v>
      </c>
      <c r="R287" s="12" t="str">
        <f t="shared" si="72"/>
        <v>Đạt</v>
      </c>
      <c r="S287" s="10"/>
      <c r="T287" s="95"/>
    </row>
    <row r="288" spans="1:20" s="84" customFormat="1" ht="15.75" hidden="1" x14ac:dyDescent="0.25">
      <c r="A288" s="9" t="s">
        <v>198</v>
      </c>
      <c r="B288" s="1"/>
      <c r="C288" s="1" t="s">
        <v>684</v>
      </c>
      <c r="D288" s="15">
        <f t="shared" si="68"/>
        <v>85.98130841121494</v>
      </c>
      <c r="E288" s="11">
        <v>30.841121495327101</v>
      </c>
      <c r="F288" s="11">
        <v>55.140186915887845</v>
      </c>
      <c r="G288" s="15">
        <v>25.925925925925931</v>
      </c>
      <c r="H288" s="15">
        <v>100</v>
      </c>
      <c r="I288" s="12">
        <f t="shared" si="69"/>
        <v>2</v>
      </c>
      <c r="J288" s="12" t="str">
        <f t="shared" si="70"/>
        <v>Đạt</v>
      </c>
      <c r="K288" s="10"/>
      <c r="L288" s="96">
        <f t="shared" si="67"/>
        <v>85.98</v>
      </c>
      <c r="M288" s="113">
        <v>30.84</v>
      </c>
      <c r="N288" s="110">
        <v>55.14</v>
      </c>
      <c r="O288" s="15">
        <v>25.925925925925931</v>
      </c>
      <c r="P288" s="97">
        <v>95.327102803738313</v>
      </c>
      <c r="Q288" s="12">
        <f t="shared" si="71"/>
        <v>2</v>
      </c>
      <c r="R288" s="12" t="str">
        <f t="shared" si="72"/>
        <v>Đạt</v>
      </c>
      <c r="S288" s="10"/>
      <c r="T288" s="95"/>
    </row>
    <row r="289" spans="1:21" s="84" customFormat="1" ht="15.75" hidden="1" x14ac:dyDescent="0.25">
      <c r="A289" s="9" t="s">
        <v>199</v>
      </c>
      <c r="B289" s="1"/>
      <c r="C289" s="1" t="s">
        <v>685</v>
      </c>
      <c r="D289" s="15">
        <f t="shared" si="68"/>
        <v>78</v>
      </c>
      <c r="E289" s="11">
        <v>40.200000000000003</v>
      </c>
      <c r="F289" s="11">
        <v>37.799999999999997</v>
      </c>
      <c r="G289" s="15">
        <v>28.571428571428569</v>
      </c>
      <c r="H289" s="15">
        <v>100</v>
      </c>
      <c r="I289" s="12">
        <f t="shared" si="69"/>
        <v>2</v>
      </c>
      <c r="J289" s="12" t="str">
        <f t="shared" si="70"/>
        <v>Đạt</v>
      </c>
      <c r="K289" s="10"/>
      <c r="L289" s="96">
        <f t="shared" si="67"/>
        <v>78</v>
      </c>
      <c r="M289" s="113">
        <v>40.200000000000003</v>
      </c>
      <c r="N289" s="110">
        <v>37.799999999999997</v>
      </c>
      <c r="O289" s="15">
        <v>28.571428571428569</v>
      </c>
      <c r="P289" s="97">
        <v>97.560975609756099</v>
      </c>
      <c r="Q289" s="12">
        <f t="shared" si="71"/>
        <v>2</v>
      </c>
      <c r="R289" s="12" t="str">
        <f t="shared" si="72"/>
        <v>Đạt</v>
      </c>
      <c r="S289" s="10"/>
      <c r="T289" s="95"/>
    </row>
    <row r="290" spans="1:21" s="84" customFormat="1" ht="15.75" hidden="1" x14ac:dyDescent="0.25">
      <c r="A290" s="9" t="s">
        <v>200</v>
      </c>
      <c r="B290" s="1"/>
      <c r="C290" s="1" t="s">
        <v>686</v>
      </c>
      <c r="D290" s="15">
        <f t="shared" si="68"/>
        <v>85.710952380952378</v>
      </c>
      <c r="E290" s="11">
        <v>32.38095238095238</v>
      </c>
      <c r="F290" s="11">
        <v>53.33</v>
      </c>
      <c r="G290" s="15">
        <v>23.809523809523814</v>
      </c>
      <c r="H290" s="15">
        <v>100</v>
      </c>
      <c r="I290" s="12">
        <f>SUM((IF(D290&gt;=16.24,1,0))+(IF(G290&lt;60,1,0))+(IF(H290&lt;90,1,0)))</f>
        <v>2</v>
      </c>
      <c r="J290" s="12" t="str">
        <f t="shared" si="70"/>
        <v>Đạt</v>
      </c>
      <c r="K290" s="10"/>
      <c r="L290" s="96">
        <f t="shared" si="67"/>
        <v>85.710000000000008</v>
      </c>
      <c r="M290" s="113">
        <v>32.380000000000003</v>
      </c>
      <c r="N290" s="110">
        <v>53.33</v>
      </c>
      <c r="O290" s="15">
        <v>23.809523809523814</v>
      </c>
      <c r="P290" s="97">
        <v>98.095238095238088</v>
      </c>
      <c r="Q290" s="12">
        <f t="shared" si="71"/>
        <v>2</v>
      </c>
      <c r="R290" s="12" t="str">
        <f t="shared" si="72"/>
        <v>Đạt</v>
      </c>
      <c r="S290" s="10"/>
      <c r="T290" s="95"/>
    </row>
    <row r="291" spans="1:21" s="95" customFormat="1" hidden="1" x14ac:dyDescent="0.25">
      <c r="A291" s="5" t="s">
        <v>687</v>
      </c>
      <c r="B291" s="6" t="s">
        <v>137</v>
      </c>
      <c r="C291" s="6"/>
      <c r="D291" s="8"/>
      <c r="E291" s="103"/>
      <c r="F291" s="103"/>
      <c r="G291" s="8"/>
      <c r="H291" s="8"/>
      <c r="I291" s="8"/>
      <c r="J291" s="8"/>
      <c r="K291" s="48">
        <f>COUNTIF(J292:J326,"Đạt")</f>
        <v>35</v>
      </c>
      <c r="L291" s="101">
        <f t="shared" si="67"/>
        <v>0</v>
      </c>
      <c r="M291" s="7"/>
      <c r="N291" s="7"/>
      <c r="O291" s="8"/>
      <c r="P291" s="102"/>
      <c r="Q291" s="77"/>
      <c r="R291" s="77"/>
      <c r="S291" s="48"/>
      <c r="T291" s="94"/>
      <c r="U291" s="84"/>
    </row>
    <row r="292" spans="1:21" s="84" customFormat="1" hidden="1" x14ac:dyDescent="0.25">
      <c r="A292" s="9" t="s">
        <v>148</v>
      </c>
      <c r="B292" s="1"/>
      <c r="C292" s="1" t="s">
        <v>805</v>
      </c>
      <c r="D292" s="15">
        <f t="shared" ref="D292:D325" si="73">E292+F292</f>
        <v>76.84210526315789</v>
      </c>
      <c r="E292" s="11">
        <v>35.789473684210527</v>
      </c>
      <c r="F292" s="11">
        <v>41.05263157894737</v>
      </c>
      <c r="G292" s="12">
        <v>57</v>
      </c>
      <c r="H292" s="12">
        <v>100</v>
      </c>
      <c r="I292" s="12">
        <f t="shared" si="69"/>
        <v>2</v>
      </c>
      <c r="J292" s="12" t="str">
        <f t="shared" ref="J292:J326" si="74">IF(I292&gt;=2,"Đạt","Không đạt")</f>
        <v>Đạt</v>
      </c>
      <c r="K292" s="10"/>
      <c r="L292" s="96">
        <f t="shared" si="67"/>
        <v>76.789999999999992</v>
      </c>
      <c r="M292" s="10">
        <v>35.79</v>
      </c>
      <c r="N292" s="10">
        <v>41</v>
      </c>
      <c r="O292" s="12">
        <v>57</v>
      </c>
      <c r="P292" s="97">
        <v>96.8</v>
      </c>
      <c r="Q292" s="12">
        <f t="shared" si="71"/>
        <v>2</v>
      </c>
      <c r="R292" s="12" t="str">
        <f t="shared" si="72"/>
        <v>Đạt</v>
      </c>
      <c r="S292" s="10"/>
      <c r="T292" s="95"/>
    </row>
    <row r="293" spans="1:21" s="84" customFormat="1" ht="30" hidden="1" x14ac:dyDescent="0.25">
      <c r="A293" s="9" t="s">
        <v>149</v>
      </c>
      <c r="B293" s="1"/>
      <c r="C293" s="1" t="s">
        <v>806</v>
      </c>
      <c r="D293" s="15">
        <f t="shared" si="73"/>
        <v>74.358974358974365</v>
      </c>
      <c r="E293" s="11">
        <v>28.205128205128204</v>
      </c>
      <c r="F293" s="11">
        <v>46.153846153846153</v>
      </c>
      <c r="G293" s="12">
        <v>57</v>
      </c>
      <c r="H293" s="12">
        <v>100</v>
      </c>
      <c r="I293" s="12">
        <f t="shared" si="69"/>
        <v>2</v>
      </c>
      <c r="J293" s="12" t="str">
        <f t="shared" si="74"/>
        <v>Đạt</v>
      </c>
      <c r="K293" s="10"/>
      <c r="L293" s="96">
        <f t="shared" si="67"/>
        <v>74.210000000000008</v>
      </c>
      <c r="M293" s="10">
        <v>28.21</v>
      </c>
      <c r="N293" s="10">
        <v>46</v>
      </c>
      <c r="O293" s="12">
        <v>57</v>
      </c>
      <c r="P293" s="97">
        <v>95.2</v>
      </c>
      <c r="Q293" s="12">
        <f t="shared" si="71"/>
        <v>2</v>
      </c>
      <c r="R293" s="12" t="str">
        <f t="shared" si="72"/>
        <v>Đạt</v>
      </c>
      <c r="S293" s="10"/>
      <c r="T293" s="95"/>
    </row>
    <row r="294" spans="1:21" s="84" customFormat="1" hidden="1" x14ac:dyDescent="0.25">
      <c r="A294" s="9" t="s">
        <v>150</v>
      </c>
      <c r="B294" s="1"/>
      <c r="C294" s="1" t="s">
        <v>807</v>
      </c>
      <c r="D294" s="15">
        <f t="shared" si="73"/>
        <v>60.824742268041234</v>
      </c>
      <c r="E294" s="11">
        <v>28.865979381443299</v>
      </c>
      <c r="F294" s="11">
        <v>31.958762886597938</v>
      </c>
      <c r="G294" s="12">
        <v>58</v>
      </c>
      <c r="H294" s="12">
        <v>100</v>
      </c>
      <c r="I294" s="12">
        <f t="shared" si="69"/>
        <v>2</v>
      </c>
      <c r="J294" s="12" t="str">
        <f t="shared" si="74"/>
        <v>Đạt</v>
      </c>
      <c r="K294" s="10"/>
      <c r="L294" s="96">
        <f t="shared" si="67"/>
        <v>60.870000000000005</v>
      </c>
      <c r="M294" s="10">
        <v>28.87</v>
      </c>
      <c r="N294" s="10">
        <v>32</v>
      </c>
      <c r="O294" s="12">
        <v>58</v>
      </c>
      <c r="P294" s="97">
        <v>96.1</v>
      </c>
      <c r="Q294" s="12">
        <f t="shared" si="71"/>
        <v>2</v>
      </c>
      <c r="R294" s="12" t="str">
        <f t="shared" si="72"/>
        <v>Đạt</v>
      </c>
      <c r="S294" s="10"/>
      <c r="T294" s="95"/>
    </row>
    <row r="295" spans="1:21" s="84" customFormat="1" hidden="1" x14ac:dyDescent="0.25">
      <c r="A295" s="9" t="s">
        <v>151</v>
      </c>
      <c r="B295" s="1"/>
      <c r="C295" s="1" t="s">
        <v>430</v>
      </c>
      <c r="D295" s="15">
        <f t="shared" si="73"/>
        <v>84.848484848484844</v>
      </c>
      <c r="E295" s="11">
        <v>42.424242424242422</v>
      </c>
      <c r="F295" s="11">
        <v>42.424242424242422</v>
      </c>
      <c r="G295" s="12">
        <v>57</v>
      </c>
      <c r="H295" s="12">
        <v>100</v>
      </c>
      <c r="I295" s="12">
        <f t="shared" si="69"/>
        <v>2</v>
      </c>
      <c r="J295" s="12" t="str">
        <f t="shared" si="74"/>
        <v>Đạt</v>
      </c>
      <c r="K295" s="10"/>
      <c r="L295" s="96">
        <f t="shared" si="67"/>
        <v>84.42</v>
      </c>
      <c r="M295" s="10">
        <v>42.42</v>
      </c>
      <c r="N295" s="10">
        <v>42</v>
      </c>
      <c r="O295" s="12">
        <v>57</v>
      </c>
      <c r="P295" s="97">
        <v>95.3</v>
      </c>
      <c r="Q295" s="12">
        <f t="shared" si="71"/>
        <v>2</v>
      </c>
      <c r="R295" s="12" t="str">
        <f t="shared" si="72"/>
        <v>Đạt</v>
      </c>
      <c r="S295" s="10"/>
      <c r="T295" s="95"/>
    </row>
    <row r="296" spans="1:21" s="84" customFormat="1" hidden="1" x14ac:dyDescent="0.25">
      <c r="A296" s="9" t="s">
        <v>152</v>
      </c>
      <c r="B296" s="1"/>
      <c r="C296" s="1" t="s">
        <v>429</v>
      </c>
      <c r="D296" s="15">
        <f t="shared" si="73"/>
        <v>80.952380952380949</v>
      </c>
      <c r="E296" s="11">
        <v>28.571428571428573</v>
      </c>
      <c r="F296" s="11">
        <v>52.38095238095238</v>
      </c>
      <c r="G296" s="12">
        <v>56</v>
      </c>
      <c r="H296" s="12">
        <v>100</v>
      </c>
      <c r="I296" s="12">
        <f t="shared" si="69"/>
        <v>2</v>
      </c>
      <c r="J296" s="12" t="str">
        <f t="shared" si="74"/>
        <v>Đạt</v>
      </c>
      <c r="K296" s="10"/>
      <c r="L296" s="96">
        <f t="shared" si="67"/>
        <v>80.569999999999993</v>
      </c>
      <c r="M296" s="10">
        <v>28.57</v>
      </c>
      <c r="N296" s="10">
        <v>52</v>
      </c>
      <c r="O296" s="12">
        <v>56</v>
      </c>
      <c r="P296" s="97">
        <v>100</v>
      </c>
      <c r="Q296" s="12">
        <f t="shared" si="71"/>
        <v>2</v>
      </c>
      <c r="R296" s="12" t="str">
        <f t="shared" si="72"/>
        <v>Đạt</v>
      </c>
      <c r="S296" s="10"/>
      <c r="T296" s="95"/>
    </row>
    <row r="297" spans="1:21" s="84" customFormat="1" ht="30" hidden="1" x14ac:dyDescent="0.25">
      <c r="A297" s="9" t="s">
        <v>153</v>
      </c>
      <c r="B297" s="1"/>
      <c r="C297" s="1" t="s">
        <v>808</v>
      </c>
      <c r="D297" s="15">
        <f t="shared" si="73"/>
        <v>87.2340425531915</v>
      </c>
      <c r="E297" s="11">
        <v>40.425531914893618</v>
      </c>
      <c r="F297" s="11">
        <v>46.808510638297875</v>
      </c>
      <c r="G297" s="12">
        <v>52</v>
      </c>
      <c r="H297" s="12">
        <v>100</v>
      </c>
      <c r="I297" s="12">
        <f t="shared" si="69"/>
        <v>2</v>
      </c>
      <c r="J297" s="12" t="str">
        <f t="shared" si="74"/>
        <v>Đạt</v>
      </c>
      <c r="K297" s="10"/>
      <c r="L297" s="96">
        <f t="shared" si="67"/>
        <v>87.43</v>
      </c>
      <c r="M297" s="10">
        <v>40.43</v>
      </c>
      <c r="N297" s="10">
        <v>47</v>
      </c>
      <c r="O297" s="12">
        <v>52</v>
      </c>
      <c r="P297" s="97">
        <v>97.9</v>
      </c>
      <c r="Q297" s="12">
        <f t="shared" si="71"/>
        <v>2</v>
      </c>
      <c r="R297" s="12" t="str">
        <f t="shared" si="72"/>
        <v>Đạt</v>
      </c>
      <c r="S297" s="10"/>
      <c r="T297" s="95"/>
    </row>
    <row r="298" spans="1:21" s="84" customFormat="1" ht="30" hidden="1" x14ac:dyDescent="0.25">
      <c r="A298" s="9" t="s">
        <v>154</v>
      </c>
      <c r="B298" s="1"/>
      <c r="C298" s="1" t="s">
        <v>809</v>
      </c>
      <c r="D298" s="15">
        <f t="shared" si="73"/>
        <v>91.304347826086953</v>
      </c>
      <c r="E298" s="11">
        <v>47.826086956521735</v>
      </c>
      <c r="F298" s="11">
        <v>43.478260869565219</v>
      </c>
      <c r="G298" s="12">
        <v>59</v>
      </c>
      <c r="H298" s="12">
        <v>100</v>
      </c>
      <c r="I298" s="12">
        <f t="shared" si="69"/>
        <v>2</v>
      </c>
      <c r="J298" s="12" t="str">
        <f t="shared" si="74"/>
        <v>Đạt</v>
      </c>
      <c r="K298" s="10"/>
      <c r="L298" s="96">
        <f t="shared" si="67"/>
        <v>90.83</v>
      </c>
      <c r="M298" s="10">
        <v>47.83</v>
      </c>
      <c r="N298" s="10">
        <v>43</v>
      </c>
      <c r="O298" s="12">
        <v>59</v>
      </c>
      <c r="P298" s="97">
        <v>95.3</v>
      </c>
      <c r="Q298" s="12">
        <f t="shared" si="71"/>
        <v>2</v>
      </c>
      <c r="R298" s="12" t="str">
        <f t="shared" si="72"/>
        <v>Đạt</v>
      </c>
      <c r="S298" s="10"/>
      <c r="T298" s="95"/>
    </row>
    <row r="299" spans="1:21" s="84" customFormat="1" hidden="1" x14ac:dyDescent="0.25">
      <c r="A299" s="9" t="s">
        <v>155</v>
      </c>
      <c r="B299" s="1"/>
      <c r="C299" s="1" t="s">
        <v>810</v>
      </c>
      <c r="D299" s="15">
        <f t="shared" si="73"/>
        <v>91.044776119402982</v>
      </c>
      <c r="E299" s="11">
        <v>40.298507462686565</v>
      </c>
      <c r="F299" s="11">
        <v>50.746268656716417</v>
      </c>
      <c r="G299" s="12">
        <v>53</v>
      </c>
      <c r="H299" s="12">
        <v>100</v>
      </c>
      <c r="I299" s="12">
        <f t="shared" si="69"/>
        <v>2</v>
      </c>
      <c r="J299" s="12" t="str">
        <f t="shared" si="74"/>
        <v>Đạt</v>
      </c>
      <c r="K299" s="10"/>
      <c r="L299" s="96">
        <f t="shared" si="67"/>
        <v>91.3</v>
      </c>
      <c r="M299" s="10">
        <v>40.299999999999997</v>
      </c>
      <c r="N299" s="10">
        <v>51</v>
      </c>
      <c r="O299" s="12">
        <v>53</v>
      </c>
      <c r="P299" s="97">
        <v>96.9</v>
      </c>
      <c r="Q299" s="12">
        <f t="shared" si="71"/>
        <v>2</v>
      </c>
      <c r="R299" s="12" t="str">
        <f t="shared" si="72"/>
        <v>Đạt</v>
      </c>
      <c r="S299" s="10"/>
      <c r="T299" s="95"/>
    </row>
    <row r="300" spans="1:21" s="84" customFormat="1" hidden="1" x14ac:dyDescent="0.25">
      <c r="A300" s="9" t="s">
        <v>156</v>
      </c>
      <c r="B300" s="1"/>
      <c r="C300" s="1" t="s">
        <v>811</v>
      </c>
      <c r="D300" s="15">
        <f t="shared" si="73"/>
        <v>68.656716417910445</v>
      </c>
      <c r="E300" s="11">
        <v>41.791044776119399</v>
      </c>
      <c r="F300" s="11">
        <v>26.865671641791042</v>
      </c>
      <c r="G300" s="12">
        <v>52</v>
      </c>
      <c r="H300" s="12">
        <v>100</v>
      </c>
      <c r="I300" s="12">
        <f t="shared" si="69"/>
        <v>2</v>
      </c>
      <c r="J300" s="12" t="str">
        <f t="shared" si="74"/>
        <v>Đạt</v>
      </c>
      <c r="K300" s="10"/>
      <c r="L300" s="96">
        <f t="shared" si="67"/>
        <v>68.789999999999992</v>
      </c>
      <c r="M300" s="10">
        <v>41.79</v>
      </c>
      <c r="N300" s="10">
        <v>27</v>
      </c>
      <c r="O300" s="12">
        <v>52</v>
      </c>
      <c r="P300" s="97">
        <v>95.5</v>
      </c>
      <c r="Q300" s="12">
        <f t="shared" si="71"/>
        <v>2</v>
      </c>
      <c r="R300" s="12" t="str">
        <f t="shared" si="72"/>
        <v>Đạt</v>
      </c>
      <c r="S300" s="10"/>
      <c r="T300" s="95"/>
    </row>
    <row r="301" spans="1:21" s="84" customFormat="1" ht="30" hidden="1" x14ac:dyDescent="0.25">
      <c r="A301" s="9" t="s">
        <v>157</v>
      </c>
      <c r="B301" s="1"/>
      <c r="C301" s="1" t="s">
        <v>812</v>
      </c>
      <c r="D301" s="15">
        <f t="shared" si="73"/>
        <v>94.117647058823522</v>
      </c>
      <c r="E301" s="11">
        <v>32.352941176470587</v>
      </c>
      <c r="F301" s="11">
        <v>61.764705882352935</v>
      </c>
      <c r="G301" s="12">
        <v>53</v>
      </c>
      <c r="H301" s="12">
        <v>100</v>
      </c>
      <c r="I301" s="12">
        <f t="shared" si="69"/>
        <v>2</v>
      </c>
      <c r="J301" s="12" t="str">
        <f t="shared" si="74"/>
        <v>Đạt</v>
      </c>
      <c r="K301" s="10"/>
      <c r="L301" s="96">
        <f t="shared" ref="L301:L364" si="75">M301+N301</f>
        <v>94.11</v>
      </c>
      <c r="M301" s="10">
        <v>32.35</v>
      </c>
      <c r="N301" s="10">
        <v>61.76</v>
      </c>
      <c r="O301" s="12">
        <v>53</v>
      </c>
      <c r="P301" s="97">
        <v>100</v>
      </c>
      <c r="Q301" s="12">
        <f t="shared" si="71"/>
        <v>2</v>
      </c>
      <c r="R301" s="12" t="str">
        <f t="shared" si="72"/>
        <v>Đạt</v>
      </c>
      <c r="S301" s="10"/>
      <c r="T301" s="95"/>
    </row>
    <row r="302" spans="1:21" s="84" customFormat="1" hidden="1" x14ac:dyDescent="0.25">
      <c r="A302" s="9" t="s">
        <v>158</v>
      </c>
      <c r="B302" s="1"/>
      <c r="C302" s="1" t="s">
        <v>813</v>
      </c>
      <c r="D302" s="15">
        <f t="shared" si="73"/>
        <v>78.94736842105263</v>
      </c>
      <c r="E302" s="11">
        <v>21.05263157894737</v>
      </c>
      <c r="F302" s="11">
        <v>57.89473684210526</v>
      </c>
      <c r="G302" s="12">
        <v>54</v>
      </c>
      <c r="H302" s="12">
        <v>100</v>
      </c>
      <c r="I302" s="12">
        <f t="shared" si="69"/>
        <v>2</v>
      </c>
      <c r="J302" s="12" t="str">
        <f t="shared" si="74"/>
        <v>Đạt</v>
      </c>
      <c r="K302" s="10"/>
      <c r="L302" s="96">
        <f t="shared" si="75"/>
        <v>78.94</v>
      </c>
      <c r="M302" s="10">
        <v>21.05</v>
      </c>
      <c r="N302" s="10">
        <v>57.89</v>
      </c>
      <c r="O302" s="12">
        <v>54</v>
      </c>
      <c r="P302" s="97">
        <v>100</v>
      </c>
      <c r="Q302" s="12">
        <f t="shared" ref="Q302:Q363" si="76">SUM((IF(L302&gt;=16.24,1,0))+(IF(O302&lt;60,1,0))+(IF(P302&lt;90,1,0)))</f>
        <v>2</v>
      </c>
      <c r="R302" s="12" t="str">
        <f t="shared" ref="R302:R363" si="77">IF(Q302&gt;=2,"Đạt","Không đạt")</f>
        <v>Đạt</v>
      </c>
      <c r="S302" s="10"/>
      <c r="T302" s="95"/>
    </row>
    <row r="303" spans="1:21" s="84" customFormat="1" hidden="1" x14ac:dyDescent="0.25">
      <c r="A303" s="9" t="s">
        <v>159</v>
      </c>
      <c r="B303" s="1"/>
      <c r="C303" s="1" t="s">
        <v>814</v>
      </c>
      <c r="D303" s="15">
        <f t="shared" si="73"/>
        <v>79.629629629629619</v>
      </c>
      <c r="E303" s="11">
        <v>30.555555555555554</v>
      </c>
      <c r="F303" s="11">
        <v>49.074074074074069</v>
      </c>
      <c r="G303" s="12">
        <v>57</v>
      </c>
      <c r="H303" s="12">
        <v>100</v>
      </c>
      <c r="I303" s="12">
        <f t="shared" si="69"/>
        <v>2</v>
      </c>
      <c r="J303" s="12" t="str">
        <f t="shared" si="74"/>
        <v>Đạt</v>
      </c>
      <c r="K303" s="10"/>
      <c r="L303" s="96">
        <f t="shared" si="75"/>
        <v>79.63</v>
      </c>
      <c r="M303" s="10">
        <v>30.56</v>
      </c>
      <c r="N303" s="10">
        <v>49.07</v>
      </c>
      <c r="O303" s="12">
        <v>57</v>
      </c>
      <c r="P303" s="97">
        <v>98.2</v>
      </c>
      <c r="Q303" s="12">
        <f t="shared" si="76"/>
        <v>2</v>
      </c>
      <c r="R303" s="12" t="str">
        <f t="shared" si="77"/>
        <v>Đạt</v>
      </c>
      <c r="S303" s="10"/>
      <c r="T303" s="95"/>
    </row>
    <row r="304" spans="1:21" s="84" customFormat="1" hidden="1" x14ac:dyDescent="0.25">
      <c r="A304" s="9" t="s">
        <v>160</v>
      </c>
      <c r="B304" s="1"/>
      <c r="C304" s="1" t="s">
        <v>815</v>
      </c>
      <c r="D304" s="15">
        <f t="shared" si="73"/>
        <v>41.666666666666664</v>
      </c>
      <c r="E304" s="11">
        <v>28.703703703703702</v>
      </c>
      <c r="F304" s="11">
        <v>12.962962962962962</v>
      </c>
      <c r="G304" s="12">
        <v>59</v>
      </c>
      <c r="H304" s="12">
        <v>100</v>
      </c>
      <c r="I304" s="12">
        <f t="shared" si="69"/>
        <v>2</v>
      </c>
      <c r="J304" s="12" t="str">
        <f t="shared" si="74"/>
        <v>Đạt</v>
      </c>
      <c r="K304" s="10"/>
      <c r="L304" s="96">
        <f t="shared" si="75"/>
        <v>41.66</v>
      </c>
      <c r="M304" s="10">
        <v>28.7</v>
      </c>
      <c r="N304" s="10">
        <v>12.96</v>
      </c>
      <c r="O304" s="12">
        <v>59</v>
      </c>
      <c r="P304" s="97">
        <v>97.2</v>
      </c>
      <c r="Q304" s="12">
        <f t="shared" si="76"/>
        <v>2</v>
      </c>
      <c r="R304" s="12" t="str">
        <f t="shared" si="77"/>
        <v>Đạt</v>
      </c>
      <c r="S304" s="10"/>
      <c r="T304" s="95"/>
    </row>
    <row r="305" spans="1:20" s="84" customFormat="1" hidden="1" x14ac:dyDescent="0.25">
      <c r="A305" s="9" t="s">
        <v>161</v>
      </c>
      <c r="B305" s="1"/>
      <c r="C305" s="1" t="s">
        <v>816</v>
      </c>
      <c r="D305" s="15">
        <f t="shared" si="73"/>
        <v>55.284552845528452</v>
      </c>
      <c r="E305" s="11">
        <v>28.45528455284553</v>
      </c>
      <c r="F305" s="11">
        <v>26.829268292682926</v>
      </c>
      <c r="G305" s="12">
        <v>58</v>
      </c>
      <c r="H305" s="12">
        <v>100</v>
      </c>
      <c r="I305" s="12">
        <f t="shared" si="69"/>
        <v>2</v>
      </c>
      <c r="J305" s="12" t="str">
        <f t="shared" si="74"/>
        <v>Đạt</v>
      </c>
      <c r="K305" s="10"/>
      <c r="L305" s="96">
        <f t="shared" si="75"/>
        <v>55.289268300000003</v>
      </c>
      <c r="M305" s="10">
        <v>28.46</v>
      </c>
      <c r="N305" s="10">
        <v>26.829268299999999</v>
      </c>
      <c r="O305" s="12">
        <v>58</v>
      </c>
      <c r="P305" s="97">
        <v>96.7</v>
      </c>
      <c r="Q305" s="12">
        <f t="shared" si="76"/>
        <v>2</v>
      </c>
      <c r="R305" s="12" t="str">
        <f t="shared" si="77"/>
        <v>Đạt</v>
      </c>
      <c r="S305" s="10"/>
      <c r="T305" s="95"/>
    </row>
    <row r="306" spans="1:20" s="84" customFormat="1" hidden="1" x14ac:dyDescent="0.25">
      <c r="A306" s="9" t="s">
        <v>162</v>
      </c>
      <c r="B306" s="1"/>
      <c r="C306" s="1" t="s">
        <v>817</v>
      </c>
      <c r="D306" s="15">
        <f t="shared" si="73"/>
        <v>67.415730337078656</v>
      </c>
      <c r="E306" s="11">
        <v>31.460674157303369</v>
      </c>
      <c r="F306" s="11">
        <v>35.955056179775283</v>
      </c>
      <c r="G306" s="12">
        <v>56</v>
      </c>
      <c r="H306" s="12">
        <v>100</v>
      </c>
      <c r="I306" s="12">
        <f t="shared" si="69"/>
        <v>2</v>
      </c>
      <c r="J306" s="12" t="str">
        <f t="shared" si="74"/>
        <v>Đạt</v>
      </c>
      <c r="K306" s="10"/>
      <c r="L306" s="96">
        <f t="shared" si="75"/>
        <v>67.42</v>
      </c>
      <c r="M306" s="10">
        <v>31.46</v>
      </c>
      <c r="N306" s="10">
        <v>35.96</v>
      </c>
      <c r="O306" s="12">
        <v>56</v>
      </c>
      <c r="P306" s="97">
        <v>97.8</v>
      </c>
      <c r="Q306" s="12">
        <f t="shared" si="76"/>
        <v>2</v>
      </c>
      <c r="R306" s="12" t="str">
        <f t="shared" si="77"/>
        <v>Đạt</v>
      </c>
      <c r="S306" s="10"/>
      <c r="T306" s="95"/>
    </row>
    <row r="307" spans="1:20" s="84" customFormat="1" hidden="1" x14ac:dyDescent="0.25">
      <c r="A307" s="9" t="s">
        <v>163</v>
      </c>
      <c r="B307" s="1"/>
      <c r="C307" s="1" t="s">
        <v>818</v>
      </c>
      <c r="D307" s="15">
        <f t="shared" si="73"/>
        <v>67.1875</v>
      </c>
      <c r="E307" s="11">
        <v>21.875</v>
      </c>
      <c r="F307" s="11">
        <v>45.3125</v>
      </c>
      <c r="G307" s="12">
        <v>56</v>
      </c>
      <c r="H307" s="12">
        <v>100</v>
      </c>
      <c r="I307" s="12">
        <f t="shared" si="69"/>
        <v>2</v>
      </c>
      <c r="J307" s="12" t="str">
        <f t="shared" si="74"/>
        <v>Đạt</v>
      </c>
      <c r="K307" s="10"/>
      <c r="L307" s="96">
        <f t="shared" si="75"/>
        <v>67.19</v>
      </c>
      <c r="M307" s="10">
        <v>21.88</v>
      </c>
      <c r="N307" s="10">
        <v>45.31</v>
      </c>
      <c r="O307" s="12">
        <v>56</v>
      </c>
      <c r="P307" s="97">
        <v>98.5</v>
      </c>
      <c r="Q307" s="12">
        <f t="shared" si="76"/>
        <v>2</v>
      </c>
      <c r="R307" s="12" t="str">
        <f t="shared" si="77"/>
        <v>Đạt</v>
      </c>
      <c r="S307" s="10"/>
      <c r="T307" s="95"/>
    </row>
    <row r="308" spans="1:20" s="84" customFormat="1" hidden="1" x14ac:dyDescent="0.25">
      <c r="A308" s="9" t="s">
        <v>164</v>
      </c>
      <c r="B308" s="1"/>
      <c r="C308" s="1" t="s">
        <v>819</v>
      </c>
      <c r="D308" s="15">
        <f t="shared" si="73"/>
        <v>80.701754385964918</v>
      </c>
      <c r="E308" s="11">
        <v>35.087719298245617</v>
      </c>
      <c r="F308" s="11">
        <v>45.614035087719301</v>
      </c>
      <c r="G308" s="12">
        <v>54</v>
      </c>
      <c r="H308" s="12">
        <v>100</v>
      </c>
      <c r="I308" s="12">
        <f t="shared" si="69"/>
        <v>2</v>
      </c>
      <c r="J308" s="12" t="str">
        <f t="shared" si="74"/>
        <v>Đạt</v>
      </c>
      <c r="K308" s="10"/>
      <c r="L308" s="96">
        <f t="shared" si="75"/>
        <v>80.7</v>
      </c>
      <c r="M308" s="10">
        <v>35.090000000000003</v>
      </c>
      <c r="N308" s="10">
        <v>45.61</v>
      </c>
      <c r="O308" s="12">
        <v>54</v>
      </c>
      <c r="P308" s="97">
        <v>96.6</v>
      </c>
      <c r="Q308" s="12">
        <f t="shared" si="76"/>
        <v>2</v>
      </c>
      <c r="R308" s="12" t="str">
        <f t="shared" si="77"/>
        <v>Đạt</v>
      </c>
      <c r="S308" s="10"/>
      <c r="T308" s="95"/>
    </row>
    <row r="309" spans="1:20" s="84" customFormat="1" hidden="1" x14ac:dyDescent="0.25">
      <c r="A309" s="9" t="s">
        <v>165</v>
      </c>
      <c r="B309" s="1"/>
      <c r="C309" s="1" t="s">
        <v>820</v>
      </c>
      <c r="D309" s="15">
        <f t="shared" si="73"/>
        <v>64.179104477611943</v>
      </c>
      <c r="E309" s="11">
        <v>32.835820895522389</v>
      </c>
      <c r="F309" s="11">
        <v>31.343283582089551</v>
      </c>
      <c r="G309" s="12">
        <v>53</v>
      </c>
      <c r="H309" s="12">
        <v>100</v>
      </c>
      <c r="I309" s="12">
        <f t="shared" si="69"/>
        <v>2</v>
      </c>
      <c r="J309" s="12" t="str">
        <f t="shared" si="74"/>
        <v>Đạt</v>
      </c>
      <c r="K309" s="10"/>
      <c r="L309" s="96">
        <f t="shared" si="75"/>
        <v>64.180000000000007</v>
      </c>
      <c r="M309" s="10">
        <v>32.840000000000003</v>
      </c>
      <c r="N309" s="10">
        <v>31.34</v>
      </c>
      <c r="O309" s="12">
        <v>53</v>
      </c>
      <c r="P309" s="97">
        <v>97.1</v>
      </c>
      <c r="Q309" s="12">
        <f t="shared" si="76"/>
        <v>2</v>
      </c>
      <c r="R309" s="12" t="str">
        <f t="shared" si="77"/>
        <v>Đạt</v>
      </c>
      <c r="S309" s="10"/>
      <c r="T309" s="95"/>
    </row>
    <row r="310" spans="1:20" s="84" customFormat="1" hidden="1" x14ac:dyDescent="0.25">
      <c r="A310" s="9" t="s">
        <v>166</v>
      </c>
      <c r="B310" s="1"/>
      <c r="C310" s="1" t="s">
        <v>821</v>
      </c>
      <c r="D310" s="15">
        <f t="shared" si="73"/>
        <v>76.422764227642276</v>
      </c>
      <c r="E310" s="11">
        <v>31.707317073170731</v>
      </c>
      <c r="F310" s="11">
        <v>44.715447154471548</v>
      </c>
      <c r="G310" s="12">
        <v>57</v>
      </c>
      <c r="H310" s="12">
        <v>100</v>
      </c>
      <c r="I310" s="12">
        <f t="shared" si="69"/>
        <v>2</v>
      </c>
      <c r="J310" s="12" t="str">
        <f t="shared" si="74"/>
        <v>Đạt</v>
      </c>
      <c r="K310" s="10"/>
      <c r="L310" s="96">
        <f t="shared" si="75"/>
        <v>76.430000000000007</v>
      </c>
      <c r="M310" s="10">
        <v>31.71</v>
      </c>
      <c r="N310" s="10">
        <v>44.72</v>
      </c>
      <c r="O310" s="12">
        <v>57</v>
      </c>
      <c r="P310" s="97">
        <v>93.3</v>
      </c>
      <c r="Q310" s="12">
        <f t="shared" si="76"/>
        <v>2</v>
      </c>
      <c r="R310" s="12" t="str">
        <f t="shared" si="77"/>
        <v>Đạt</v>
      </c>
      <c r="S310" s="10"/>
      <c r="T310" s="95"/>
    </row>
    <row r="311" spans="1:20" s="84" customFormat="1" hidden="1" x14ac:dyDescent="0.25">
      <c r="A311" s="9" t="s">
        <v>167</v>
      </c>
      <c r="B311" s="1"/>
      <c r="C311" s="1" t="s">
        <v>822</v>
      </c>
      <c r="D311" s="15">
        <f t="shared" si="73"/>
        <v>72.093023255813961</v>
      </c>
      <c r="E311" s="11">
        <v>23.255813953488371</v>
      </c>
      <c r="F311" s="11">
        <v>48.837209302325583</v>
      </c>
      <c r="G311" s="12">
        <v>56</v>
      </c>
      <c r="H311" s="12">
        <v>100</v>
      </c>
      <c r="I311" s="12">
        <f t="shared" si="69"/>
        <v>2</v>
      </c>
      <c r="J311" s="12" t="str">
        <f t="shared" si="74"/>
        <v>Đạt</v>
      </c>
      <c r="K311" s="10"/>
      <c r="L311" s="96">
        <f t="shared" si="75"/>
        <v>72.100000000000009</v>
      </c>
      <c r="M311" s="10">
        <v>23.26</v>
      </c>
      <c r="N311" s="10">
        <v>48.84</v>
      </c>
      <c r="O311" s="12">
        <v>56</v>
      </c>
      <c r="P311" s="97">
        <v>91.9</v>
      </c>
      <c r="Q311" s="12">
        <f t="shared" si="76"/>
        <v>2</v>
      </c>
      <c r="R311" s="12" t="str">
        <f t="shared" si="77"/>
        <v>Đạt</v>
      </c>
      <c r="S311" s="10"/>
      <c r="T311" s="95"/>
    </row>
    <row r="312" spans="1:20" s="84" customFormat="1" ht="30" hidden="1" x14ac:dyDescent="0.25">
      <c r="A312" s="9" t="s">
        <v>168</v>
      </c>
      <c r="B312" s="1"/>
      <c r="C312" s="1" t="s">
        <v>823</v>
      </c>
      <c r="D312" s="15">
        <f t="shared" si="73"/>
        <v>72.151898734177209</v>
      </c>
      <c r="E312" s="11">
        <v>41.772151898734172</v>
      </c>
      <c r="F312" s="11">
        <v>30.379746835443036</v>
      </c>
      <c r="G312" s="12">
        <v>56.4</v>
      </c>
      <c r="H312" s="12">
        <v>100</v>
      </c>
      <c r="I312" s="12">
        <f t="shared" si="69"/>
        <v>2</v>
      </c>
      <c r="J312" s="12" t="str">
        <f t="shared" si="74"/>
        <v>Đạt</v>
      </c>
      <c r="K312" s="10"/>
      <c r="L312" s="96">
        <f t="shared" si="75"/>
        <v>72.150000000000006</v>
      </c>
      <c r="M312" s="10">
        <v>41.77</v>
      </c>
      <c r="N312" s="10">
        <v>30.38</v>
      </c>
      <c r="O312" s="12">
        <v>56.4</v>
      </c>
      <c r="P312" s="97">
        <v>93.8</v>
      </c>
      <c r="Q312" s="12">
        <f t="shared" si="76"/>
        <v>2</v>
      </c>
      <c r="R312" s="12" t="str">
        <f t="shared" si="77"/>
        <v>Đạt</v>
      </c>
      <c r="S312" s="10"/>
      <c r="T312" s="95"/>
    </row>
    <row r="313" spans="1:20" s="84" customFormat="1" hidden="1" x14ac:dyDescent="0.25">
      <c r="A313" s="9" t="s">
        <v>169</v>
      </c>
      <c r="B313" s="1"/>
      <c r="C313" s="1" t="s">
        <v>824</v>
      </c>
      <c r="D313" s="15">
        <f t="shared" si="73"/>
        <v>79.310344827586221</v>
      </c>
      <c r="E313" s="11">
        <v>44.827586206896555</v>
      </c>
      <c r="F313" s="11">
        <v>34.482758620689658</v>
      </c>
      <c r="G313" s="12">
        <v>56.4</v>
      </c>
      <c r="H313" s="12">
        <v>100</v>
      </c>
      <c r="I313" s="12">
        <f t="shared" si="69"/>
        <v>2</v>
      </c>
      <c r="J313" s="12" t="str">
        <f t="shared" si="74"/>
        <v>Đạt</v>
      </c>
      <c r="K313" s="10"/>
      <c r="L313" s="96">
        <f t="shared" si="75"/>
        <v>79.31</v>
      </c>
      <c r="M313" s="10">
        <v>44.83</v>
      </c>
      <c r="N313" s="10">
        <v>34.479999999999997</v>
      </c>
      <c r="O313" s="12">
        <v>56.4</v>
      </c>
      <c r="P313" s="97">
        <v>94.8</v>
      </c>
      <c r="Q313" s="12">
        <f t="shared" si="76"/>
        <v>2</v>
      </c>
      <c r="R313" s="12" t="str">
        <f t="shared" si="77"/>
        <v>Đạt</v>
      </c>
      <c r="S313" s="10"/>
      <c r="T313" s="95"/>
    </row>
    <row r="314" spans="1:20" s="84" customFormat="1" hidden="1" x14ac:dyDescent="0.25">
      <c r="A314" s="9" t="s">
        <v>170</v>
      </c>
      <c r="B314" s="1"/>
      <c r="C314" s="1" t="s">
        <v>348</v>
      </c>
      <c r="D314" s="15">
        <f t="shared" si="73"/>
        <v>83.333333333333343</v>
      </c>
      <c r="E314" s="11">
        <v>50</v>
      </c>
      <c r="F314" s="11">
        <v>33.333333333333336</v>
      </c>
      <c r="G314" s="12">
        <v>50</v>
      </c>
      <c r="H314" s="12">
        <v>100</v>
      </c>
      <c r="I314" s="12">
        <f t="shared" si="69"/>
        <v>2</v>
      </c>
      <c r="J314" s="12" t="str">
        <f t="shared" si="74"/>
        <v>Đạt</v>
      </c>
      <c r="K314" s="10"/>
      <c r="L314" s="96">
        <f t="shared" si="75"/>
        <v>83.33</v>
      </c>
      <c r="M314" s="10">
        <v>50</v>
      </c>
      <c r="N314" s="10">
        <v>33.33</v>
      </c>
      <c r="O314" s="12">
        <v>50</v>
      </c>
      <c r="P314" s="97">
        <v>95.2</v>
      </c>
      <c r="Q314" s="12">
        <f t="shared" si="76"/>
        <v>2</v>
      </c>
      <c r="R314" s="12" t="str">
        <f t="shared" si="77"/>
        <v>Đạt</v>
      </c>
      <c r="S314" s="10"/>
      <c r="T314" s="95"/>
    </row>
    <row r="315" spans="1:20" s="84" customFormat="1" hidden="1" x14ac:dyDescent="0.25">
      <c r="A315" s="9" t="s">
        <v>171</v>
      </c>
      <c r="B315" s="1"/>
      <c r="C315" s="1" t="s">
        <v>496</v>
      </c>
      <c r="D315" s="15">
        <f t="shared" si="73"/>
        <v>80.281690140845086</v>
      </c>
      <c r="E315" s="11">
        <v>45.070422535211272</v>
      </c>
      <c r="F315" s="11">
        <v>35.211267605633807</v>
      </c>
      <c r="G315" s="12">
        <v>56</v>
      </c>
      <c r="H315" s="12">
        <v>100</v>
      </c>
      <c r="I315" s="12">
        <f t="shared" si="69"/>
        <v>2</v>
      </c>
      <c r="J315" s="12" t="str">
        <f t="shared" si="74"/>
        <v>Đạt</v>
      </c>
      <c r="K315" s="10"/>
      <c r="L315" s="96">
        <f t="shared" si="75"/>
        <v>80.28</v>
      </c>
      <c r="M315" s="10">
        <v>45.07</v>
      </c>
      <c r="N315" s="10">
        <v>35.21</v>
      </c>
      <c r="O315" s="12">
        <v>56</v>
      </c>
      <c r="P315" s="97">
        <v>94.4</v>
      </c>
      <c r="Q315" s="12">
        <f t="shared" si="76"/>
        <v>2</v>
      </c>
      <c r="R315" s="12" t="str">
        <f t="shared" si="77"/>
        <v>Đạt</v>
      </c>
      <c r="S315" s="10"/>
      <c r="T315" s="95"/>
    </row>
    <row r="316" spans="1:20" s="84" customFormat="1" hidden="1" x14ac:dyDescent="0.25">
      <c r="A316" s="9" t="s">
        <v>172</v>
      </c>
      <c r="B316" s="1"/>
      <c r="C316" s="1" t="s">
        <v>825</v>
      </c>
      <c r="D316" s="15">
        <f t="shared" si="73"/>
        <v>72.289156626506028</v>
      </c>
      <c r="E316" s="11">
        <v>27.710843373493976</v>
      </c>
      <c r="F316" s="11">
        <v>44.578313253012048</v>
      </c>
      <c r="G316" s="12">
        <v>58.3</v>
      </c>
      <c r="H316" s="12">
        <v>100</v>
      </c>
      <c r="I316" s="12">
        <f t="shared" si="69"/>
        <v>2</v>
      </c>
      <c r="J316" s="12" t="str">
        <f t="shared" si="74"/>
        <v>Đạt</v>
      </c>
      <c r="K316" s="10"/>
      <c r="L316" s="96">
        <f t="shared" si="75"/>
        <v>72.289999999999992</v>
      </c>
      <c r="M316" s="10">
        <v>27.71</v>
      </c>
      <c r="N316" s="10">
        <v>44.58</v>
      </c>
      <c r="O316" s="12">
        <v>58.3</v>
      </c>
      <c r="P316" s="97">
        <v>95.3</v>
      </c>
      <c r="Q316" s="12">
        <f t="shared" si="76"/>
        <v>2</v>
      </c>
      <c r="R316" s="12" t="str">
        <f t="shared" si="77"/>
        <v>Đạt</v>
      </c>
      <c r="S316" s="10"/>
      <c r="T316" s="95"/>
    </row>
    <row r="317" spans="1:20" s="84" customFormat="1" hidden="1" x14ac:dyDescent="0.25">
      <c r="A317" s="9" t="s">
        <v>173</v>
      </c>
      <c r="B317" s="1"/>
      <c r="C317" s="1" t="s">
        <v>826</v>
      </c>
      <c r="D317" s="15">
        <f t="shared" si="73"/>
        <v>87.142857142857153</v>
      </c>
      <c r="E317" s="11">
        <v>44.285714285714292</v>
      </c>
      <c r="F317" s="11">
        <v>42.857142857142861</v>
      </c>
      <c r="G317" s="12">
        <v>56.4</v>
      </c>
      <c r="H317" s="12">
        <v>100</v>
      </c>
      <c r="I317" s="12">
        <f t="shared" si="69"/>
        <v>2</v>
      </c>
      <c r="J317" s="12" t="str">
        <f t="shared" si="74"/>
        <v>Đạt</v>
      </c>
      <c r="K317" s="10"/>
      <c r="L317" s="96">
        <f t="shared" si="75"/>
        <v>87.15</v>
      </c>
      <c r="M317" s="10">
        <v>44.29</v>
      </c>
      <c r="N317" s="10">
        <v>42.86</v>
      </c>
      <c r="O317" s="12">
        <v>56.4</v>
      </c>
      <c r="P317" s="97">
        <v>95</v>
      </c>
      <c r="Q317" s="12">
        <f t="shared" si="76"/>
        <v>2</v>
      </c>
      <c r="R317" s="12" t="str">
        <f t="shared" si="77"/>
        <v>Đạt</v>
      </c>
      <c r="S317" s="10"/>
      <c r="T317" s="95"/>
    </row>
    <row r="318" spans="1:20" s="84" customFormat="1" ht="30" hidden="1" x14ac:dyDescent="0.25">
      <c r="A318" s="9" t="s">
        <v>174</v>
      </c>
      <c r="B318" s="1"/>
      <c r="C318" s="1" t="s">
        <v>346</v>
      </c>
      <c r="D318" s="15">
        <f t="shared" si="73"/>
        <v>76.923076923076934</v>
      </c>
      <c r="E318" s="11">
        <v>33.333333333333336</v>
      </c>
      <c r="F318" s="11">
        <v>43.589743589743591</v>
      </c>
      <c r="G318" s="12">
        <v>58.2</v>
      </c>
      <c r="H318" s="12">
        <v>100</v>
      </c>
      <c r="I318" s="12">
        <f t="shared" si="69"/>
        <v>2</v>
      </c>
      <c r="J318" s="12" t="str">
        <f t="shared" si="74"/>
        <v>Đạt</v>
      </c>
      <c r="K318" s="10"/>
      <c r="L318" s="96">
        <f t="shared" si="75"/>
        <v>76.92</v>
      </c>
      <c r="M318" s="10">
        <v>33.33</v>
      </c>
      <c r="N318" s="10">
        <v>43.59</v>
      </c>
      <c r="O318" s="12">
        <v>58.2</v>
      </c>
      <c r="P318" s="97">
        <v>95</v>
      </c>
      <c r="Q318" s="12">
        <f t="shared" si="76"/>
        <v>2</v>
      </c>
      <c r="R318" s="12" t="str">
        <f t="shared" si="77"/>
        <v>Đạt</v>
      </c>
      <c r="S318" s="10"/>
      <c r="T318" s="95"/>
    </row>
    <row r="319" spans="1:20" s="84" customFormat="1" hidden="1" x14ac:dyDescent="0.25">
      <c r="A319" s="9" t="s">
        <v>175</v>
      </c>
      <c r="B319" s="1"/>
      <c r="C319" s="1" t="s">
        <v>827</v>
      </c>
      <c r="D319" s="15">
        <f t="shared" si="73"/>
        <v>86.04651162790698</v>
      </c>
      <c r="E319" s="11">
        <v>48.837209302325583</v>
      </c>
      <c r="F319" s="11">
        <v>37.209302325581397</v>
      </c>
      <c r="G319" s="12">
        <v>56.3</v>
      </c>
      <c r="H319" s="12">
        <v>100</v>
      </c>
      <c r="I319" s="12">
        <f t="shared" si="69"/>
        <v>2</v>
      </c>
      <c r="J319" s="12" t="str">
        <f t="shared" si="74"/>
        <v>Đạt</v>
      </c>
      <c r="K319" s="10"/>
      <c r="L319" s="96">
        <f t="shared" si="75"/>
        <v>86.050000000000011</v>
      </c>
      <c r="M319" s="10">
        <v>48.84</v>
      </c>
      <c r="N319" s="10">
        <v>37.21</v>
      </c>
      <c r="O319" s="12">
        <v>56.3</v>
      </c>
      <c r="P319" s="97">
        <v>95.7</v>
      </c>
      <c r="Q319" s="12">
        <f t="shared" si="76"/>
        <v>2</v>
      </c>
      <c r="R319" s="12" t="str">
        <f t="shared" si="77"/>
        <v>Đạt</v>
      </c>
      <c r="S319" s="10"/>
      <c r="T319" s="95"/>
    </row>
    <row r="320" spans="1:20" s="84" customFormat="1" hidden="1" x14ac:dyDescent="0.25">
      <c r="A320" s="9" t="s">
        <v>176</v>
      </c>
      <c r="B320" s="1"/>
      <c r="C320" s="1" t="s">
        <v>828</v>
      </c>
      <c r="D320" s="15">
        <f t="shared" si="73"/>
        <v>91.111111111111114</v>
      </c>
      <c r="E320" s="11">
        <v>48.888888888888886</v>
      </c>
      <c r="F320" s="11">
        <v>42.222222222222221</v>
      </c>
      <c r="G320" s="12">
        <v>57.2</v>
      </c>
      <c r="H320" s="12">
        <v>100</v>
      </c>
      <c r="I320" s="12">
        <f t="shared" si="69"/>
        <v>2</v>
      </c>
      <c r="J320" s="12" t="str">
        <f t="shared" si="74"/>
        <v>Đạt</v>
      </c>
      <c r="K320" s="10"/>
      <c r="L320" s="96">
        <f t="shared" si="75"/>
        <v>91.11</v>
      </c>
      <c r="M320" s="10">
        <v>48.89</v>
      </c>
      <c r="N320" s="10">
        <v>42.22</v>
      </c>
      <c r="O320" s="12">
        <v>57.2</v>
      </c>
      <c r="P320" s="97">
        <v>93.6</v>
      </c>
      <c r="Q320" s="12">
        <f t="shared" si="76"/>
        <v>2</v>
      </c>
      <c r="R320" s="12" t="str">
        <f t="shared" si="77"/>
        <v>Đạt</v>
      </c>
      <c r="S320" s="10"/>
      <c r="T320" s="95"/>
    </row>
    <row r="321" spans="1:21" s="84" customFormat="1" hidden="1" x14ac:dyDescent="0.25">
      <c r="A321" s="9" t="s">
        <v>177</v>
      </c>
      <c r="B321" s="1"/>
      <c r="C321" s="1" t="s">
        <v>829</v>
      </c>
      <c r="D321" s="15">
        <f t="shared" si="73"/>
        <v>97.142857142857153</v>
      </c>
      <c r="E321" s="11">
        <v>54.285714285714292</v>
      </c>
      <c r="F321" s="11">
        <v>42.857142857142861</v>
      </c>
      <c r="G321" s="12">
        <v>55.6</v>
      </c>
      <c r="H321" s="12">
        <v>100</v>
      </c>
      <c r="I321" s="12">
        <f t="shared" si="69"/>
        <v>2</v>
      </c>
      <c r="J321" s="12" t="str">
        <f t="shared" si="74"/>
        <v>Đạt</v>
      </c>
      <c r="K321" s="10"/>
      <c r="L321" s="96">
        <f t="shared" si="75"/>
        <v>97.15</v>
      </c>
      <c r="M321" s="10">
        <v>54.29</v>
      </c>
      <c r="N321" s="10">
        <v>42.86</v>
      </c>
      <c r="O321" s="12">
        <v>55.6</v>
      </c>
      <c r="P321" s="97">
        <v>97.2</v>
      </c>
      <c r="Q321" s="12">
        <f t="shared" si="76"/>
        <v>2</v>
      </c>
      <c r="R321" s="12" t="str">
        <f t="shared" si="77"/>
        <v>Đạt</v>
      </c>
      <c r="S321" s="10"/>
      <c r="T321" s="95"/>
    </row>
    <row r="322" spans="1:21" s="84" customFormat="1" hidden="1" x14ac:dyDescent="0.25">
      <c r="A322" s="9" t="s">
        <v>178</v>
      </c>
      <c r="B322" s="1"/>
      <c r="C322" s="1" t="s">
        <v>830</v>
      </c>
      <c r="D322" s="15">
        <f t="shared" si="73"/>
        <v>53.333333333333336</v>
      </c>
      <c r="E322" s="11">
        <v>30</v>
      </c>
      <c r="F322" s="11">
        <v>23.333333333333336</v>
      </c>
      <c r="G322" s="12">
        <v>56.3</v>
      </c>
      <c r="H322" s="12">
        <v>100</v>
      </c>
      <c r="I322" s="12">
        <f t="shared" si="69"/>
        <v>2</v>
      </c>
      <c r="J322" s="12" t="str">
        <f t="shared" si="74"/>
        <v>Đạt</v>
      </c>
      <c r="K322" s="10"/>
      <c r="L322" s="96">
        <f t="shared" si="75"/>
        <v>53.33</v>
      </c>
      <c r="M322" s="10">
        <v>30</v>
      </c>
      <c r="N322" s="10">
        <v>23.33</v>
      </c>
      <c r="O322" s="12">
        <v>56.3</v>
      </c>
      <c r="P322" s="97">
        <v>100</v>
      </c>
      <c r="Q322" s="12">
        <f t="shared" si="76"/>
        <v>2</v>
      </c>
      <c r="R322" s="12" t="str">
        <f t="shared" si="77"/>
        <v>Đạt</v>
      </c>
      <c r="S322" s="10"/>
      <c r="T322" s="95"/>
    </row>
    <row r="323" spans="1:21" s="84" customFormat="1" hidden="1" x14ac:dyDescent="0.25">
      <c r="A323" s="9" t="s">
        <v>179</v>
      </c>
      <c r="B323" s="1"/>
      <c r="C323" s="1" t="s">
        <v>831</v>
      </c>
      <c r="D323" s="15">
        <f t="shared" si="73"/>
        <v>72.72727272727272</v>
      </c>
      <c r="E323" s="11">
        <v>45.454545454545453</v>
      </c>
      <c r="F323" s="11">
        <v>27.272727272727273</v>
      </c>
      <c r="G323" s="12">
        <v>59.5</v>
      </c>
      <c r="H323" s="12">
        <v>100</v>
      </c>
      <c r="I323" s="12">
        <f t="shared" si="69"/>
        <v>2</v>
      </c>
      <c r="J323" s="12" t="str">
        <f t="shared" si="74"/>
        <v>Đạt</v>
      </c>
      <c r="K323" s="10"/>
      <c r="L323" s="96">
        <f t="shared" si="75"/>
        <v>72.72</v>
      </c>
      <c r="M323" s="10">
        <v>45.45</v>
      </c>
      <c r="N323" s="10">
        <v>27.27</v>
      </c>
      <c r="O323" s="12">
        <v>59.5</v>
      </c>
      <c r="P323" s="97">
        <v>96.1</v>
      </c>
      <c r="Q323" s="12">
        <f t="shared" si="76"/>
        <v>2</v>
      </c>
      <c r="R323" s="12" t="str">
        <f t="shared" si="77"/>
        <v>Đạt</v>
      </c>
      <c r="S323" s="10"/>
      <c r="T323" s="95"/>
    </row>
    <row r="324" spans="1:21" s="84" customFormat="1" hidden="1" x14ac:dyDescent="0.25">
      <c r="A324" s="9" t="s">
        <v>180</v>
      </c>
      <c r="B324" s="1"/>
      <c r="C324" s="1" t="s">
        <v>832</v>
      </c>
      <c r="D324" s="15">
        <f t="shared" si="73"/>
        <v>90.625</v>
      </c>
      <c r="E324" s="11">
        <v>60.9375</v>
      </c>
      <c r="F324" s="11">
        <v>29.6875</v>
      </c>
      <c r="G324" s="12">
        <v>57</v>
      </c>
      <c r="H324" s="12">
        <v>100</v>
      </c>
      <c r="I324" s="12">
        <f t="shared" si="69"/>
        <v>2</v>
      </c>
      <c r="J324" s="12" t="str">
        <f t="shared" si="74"/>
        <v>Đạt</v>
      </c>
      <c r="K324" s="10"/>
      <c r="L324" s="96">
        <f t="shared" si="75"/>
        <v>90.63</v>
      </c>
      <c r="M324" s="10">
        <v>60.94</v>
      </c>
      <c r="N324" s="10">
        <v>29.69</v>
      </c>
      <c r="O324" s="12">
        <v>57</v>
      </c>
      <c r="P324" s="97">
        <v>97</v>
      </c>
      <c r="Q324" s="12">
        <f t="shared" si="76"/>
        <v>2</v>
      </c>
      <c r="R324" s="12" t="str">
        <f t="shared" si="77"/>
        <v>Đạt</v>
      </c>
      <c r="S324" s="10"/>
      <c r="T324" s="95"/>
    </row>
    <row r="325" spans="1:21" s="84" customFormat="1" hidden="1" x14ac:dyDescent="0.25">
      <c r="A325" s="9" t="s">
        <v>181</v>
      </c>
      <c r="B325" s="1"/>
      <c r="C325" s="1" t="s">
        <v>833</v>
      </c>
      <c r="D325" s="15">
        <f t="shared" si="73"/>
        <v>79.166666666666671</v>
      </c>
      <c r="E325" s="11">
        <v>41.666666666666671</v>
      </c>
      <c r="F325" s="11">
        <v>37.5</v>
      </c>
      <c r="G325" s="12">
        <v>56.5</v>
      </c>
      <c r="H325" s="12">
        <v>100</v>
      </c>
      <c r="I325" s="12">
        <f t="shared" si="69"/>
        <v>2</v>
      </c>
      <c r="J325" s="12" t="str">
        <f t="shared" si="74"/>
        <v>Đạt</v>
      </c>
      <c r="K325" s="10"/>
      <c r="L325" s="96">
        <f t="shared" si="75"/>
        <v>79.17</v>
      </c>
      <c r="M325" s="10">
        <v>41.67</v>
      </c>
      <c r="N325" s="10">
        <v>37.5</v>
      </c>
      <c r="O325" s="12">
        <v>56.5</v>
      </c>
      <c r="P325" s="97">
        <v>93.8</v>
      </c>
      <c r="Q325" s="12">
        <f t="shared" si="76"/>
        <v>2</v>
      </c>
      <c r="R325" s="12" t="str">
        <f t="shared" si="77"/>
        <v>Đạt</v>
      </c>
      <c r="S325" s="10"/>
      <c r="T325" s="95"/>
    </row>
    <row r="326" spans="1:21" s="84" customFormat="1" ht="30" hidden="1" x14ac:dyDescent="0.25">
      <c r="A326" s="9" t="s">
        <v>182</v>
      </c>
      <c r="B326" s="1"/>
      <c r="C326" s="1" t="s">
        <v>834</v>
      </c>
      <c r="D326" s="15">
        <f>E326+F326</f>
        <v>82.35294117647058</v>
      </c>
      <c r="E326" s="11">
        <v>40.196078431372548</v>
      </c>
      <c r="F326" s="11">
        <v>42.156862745098039</v>
      </c>
      <c r="G326" s="12">
        <v>56.5</v>
      </c>
      <c r="H326" s="12">
        <v>100</v>
      </c>
      <c r="I326" s="12">
        <f>SUM((IF(D326&gt;=16.24,1,0))+(IF(G326&lt;60,1,0))+(IF(H326&lt;90,1,0)))</f>
        <v>2</v>
      </c>
      <c r="J326" s="12" t="str">
        <f t="shared" si="74"/>
        <v>Đạt</v>
      </c>
      <c r="K326" s="10"/>
      <c r="L326" s="96">
        <f t="shared" si="75"/>
        <v>82.36</v>
      </c>
      <c r="M326" s="10">
        <v>40.200000000000003</v>
      </c>
      <c r="N326" s="10">
        <v>42.16</v>
      </c>
      <c r="O326" s="12">
        <v>56.5</v>
      </c>
      <c r="P326" s="97">
        <v>92.5</v>
      </c>
      <c r="Q326" s="12">
        <f t="shared" si="76"/>
        <v>2</v>
      </c>
      <c r="R326" s="12" t="str">
        <f t="shared" si="77"/>
        <v>Đạt</v>
      </c>
      <c r="S326" s="10"/>
      <c r="T326" s="95"/>
    </row>
    <row r="327" spans="1:21" s="95" customFormat="1" ht="15.75" hidden="1" customHeight="1" x14ac:dyDescent="0.25">
      <c r="A327" s="5" t="s">
        <v>769</v>
      </c>
      <c r="B327" s="6" t="s">
        <v>136</v>
      </c>
      <c r="C327" s="6"/>
      <c r="D327" s="8"/>
      <c r="E327" s="103"/>
      <c r="F327" s="103"/>
      <c r="G327" s="8"/>
      <c r="H327" s="8"/>
      <c r="I327" s="8"/>
      <c r="J327" s="8"/>
      <c r="K327" s="48">
        <f>COUNTIF(J328:J363,"Đạt")</f>
        <v>21</v>
      </c>
      <c r="L327" s="101">
        <f t="shared" si="75"/>
        <v>0</v>
      </c>
      <c r="M327" s="7"/>
      <c r="N327" s="7"/>
      <c r="O327" s="8"/>
      <c r="P327" s="102"/>
      <c r="Q327" s="77"/>
      <c r="R327" s="77"/>
      <c r="S327" s="48"/>
      <c r="T327" s="94"/>
      <c r="U327" s="84"/>
    </row>
    <row r="328" spans="1:21" s="84" customFormat="1" hidden="1" x14ac:dyDescent="0.25">
      <c r="A328" s="9" t="s">
        <v>148</v>
      </c>
      <c r="B328" s="1"/>
      <c r="C328" s="1" t="s">
        <v>770</v>
      </c>
      <c r="D328" s="15">
        <f>E328+F328</f>
        <v>30.232558139534888</v>
      </c>
      <c r="E328" s="11">
        <v>10.852713178294573</v>
      </c>
      <c r="F328" s="11">
        <v>19.379844961240313</v>
      </c>
      <c r="G328" s="12">
        <v>64</v>
      </c>
      <c r="H328" s="12">
        <v>100</v>
      </c>
      <c r="I328" s="12">
        <f t="shared" si="69"/>
        <v>1</v>
      </c>
      <c r="J328" s="12" t="str">
        <f t="shared" ref="J328:J363" si="78">IF(I328&gt;=2,"Đạt","Không đạt")</f>
        <v>Không đạt</v>
      </c>
      <c r="K328" s="10"/>
      <c r="L328" s="96">
        <f t="shared" si="75"/>
        <v>30.229999999999997</v>
      </c>
      <c r="M328" s="114">
        <v>10.85</v>
      </c>
      <c r="N328" s="114">
        <v>19.38</v>
      </c>
      <c r="O328" s="12">
        <v>64</v>
      </c>
      <c r="P328" s="97">
        <v>100</v>
      </c>
      <c r="Q328" s="12">
        <f t="shared" si="76"/>
        <v>1</v>
      </c>
      <c r="R328" s="12" t="str">
        <f t="shared" si="77"/>
        <v>Không đạt</v>
      </c>
      <c r="S328" s="10"/>
      <c r="T328" s="95"/>
    </row>
    <row r="329" spans="1:21" s="84" customFormat="1" hidden="1" x14ac:dyDescent="0.25">
      <c r="A329" s="9" t="s">
        <v>149</v>
      </c>
      <c r="B329" s="1"/>
      <c r="C329" s="1" t="s">
        <v>771</v>
      </c>
      <c r="D329" s="15">
        <f t="shared" ref="D329:D363" si="79">E329+F329</f>
        <v>39.583333333333336</v>
      </c>
      <c r="E329" s="11">
        <v>11.458333333333334</v>
      </c>
      <c r="F329" s="11">
        <v>28.125</v>
      </c>
      <c r="G329" s="12">
        <v>78</v>
      </c>
      <c r="H329" s="12">
        <v>100</v>
      </c>
      <c r="I329" s="12">
        <f t="shared" si="69"/>
        <v>1</v>
      </c>
      <c r="J329" s="12" t="str">
        <f t="shared" si="78"/>
        <v>Không đạt</v>
      </c>
      <c r="K329" s="10"/>
      <c r="L329" s="96">
        <f t="shared" si="75"/>
        <v>39.590000000000003</v>
      </c>
      <c r="M329" s="114">
        <v>11.46</v>
      </c>
      <c r="N329" s="114">
        <v>28.13</v>
      </c>
      <c r="O329" s="12">
        <v>78</v>
      </c>
      <c r="P329" s="97">
        <v>100</v>
      </c>
      <c r="Q329" s="12">
        <f t="shared" si="76"/>
        <v>1</v>
      </c>
      <c r="R329" s="12" t="str">
        <f t="shared" si="77"/>
        <v>Không đạt</v>
      </c>
      <c r="S329" s="10"/>
      <c r="T329" s="95"/>
    </row>
    <row r="330" spans="1:21" s="84" customFormat="1" hidden="1" x14ac:dyDescent="0.25">
      <c r="A330" s="9" t="s">
        <v>150</v>
      </c>
      <c r="B330" s="1"/>
      <c r="C330" s="1" t="s">
        <v>772</v>
      </c>
      <c r="D330" s="15">
        <f t="shared" si="79"/>
        <v>22.448979591836736</v>
      </c>
      <c r="E330" s="11">
        <v>6.8027210884353746</v>
      </c>
      <c r="F330" s="11">
        <v>15.646258503401361</v>
      </c>
      <c r="G330" s="12">
        <v>62</v>
      </c>
      <c r="H330" s="12">
        <v>100</v>
      </c>
      <c r="I330" s="12">
        <f t="shared" si="69"/>
        <v>1</v>
      </c>
      <c r="J330" s="12" t="str">
        <f t="shared" si="78"/>
        <v>Không đạt</v>
      </c>
      <c r="K330" s="10"/>
      <c r="L330" s="96">
        <f t="shared" si="75"/>
        <v>22.45</v>
      </c>
      <c r="M330" s="114">
        <v>6.8</v>
      </c>
      <c r="N330" s="114">
        <v>15.65</v>
      </c>
      <c r="O330" s="12">
        <v>62</v>
      </c>
      <c r="P330" s="97">
        <v>98.639455782312922</v>
      </c>
      <c r="Q330" s="12">
        <f t="shared" si="76"/>
        <v>1</v>
      </c>
      <c r="R330" s="12" t="str">
        <f t="shared" si="77"/>
        <v>Không đạt</v>
      </c>
      <c r="S330" s="10"/>
      <c r="T330" s="95"/>
    </row>
    <row r="331" spans="1:21" s="84" customFormat="1" hidden="1" x14ac:dyDescent="0.25">
      <c r="A331" s="9" t="s">
        <v>151</v>
      </c>
      <c r="B331" s="1"/>
      <c r="C331" s="1" t="s">
        <v>773</v>
      </c>
      <c r="D331" s="15">
        <f t="shared" si="79"/>
        <v>33.057851239669425</v>
      </c>
      <c r="E331" s="11">
        <v>10.743801652892563</v>
      </c>
      <c r="F331" s="11">
        <v>22.314049586776861</v>
      </c>
      <c r="G331" s="12">
        <v>61</v>
      </c>
      <c r="H331" s="12">
        <v>100</v>
      </c>
      <c r="I331" s="12">
        <f t="shared" si="69"/>
        <v>1</v>
      </c>
      <c r="J331" s="12" t="str">
        <f t="shared" si="78"/>
        <v>Không đạt</v>
      </c>
      <c r="K331" s="10"/>
      <c r="L331" s="96">
        <f t="shared" si="75"/>
        <v>33.049999999999997</v>
      </c>
      <c r="M331" s="114">
        <v>10.74</v>
      </c>
      <c r="N331" s="114">
        <v>22.31</v>
      </c>
      <c r="O331" s="12">
        <v>61</v>
      </c>
      <c r="P331" s="97">
        <v>100</v>
      </c>
      <c r="Q331" s="12">
        <f t="shared" si="76"/>
        <v>1</v>
      </c>
      <c r="R331" s="12" t="str">
        <f t="shared" si="77"/>
        <v>Không đạt</v>
      </c>
      <c r="S331" s="10"/>
      <c r="T331" s="95"/>
    </row>
    <row r="332" spans="1:21" s="84" customFormat="1" hidden="1" x14ac:dyDescent="0.25">
      <c r="A332" s="9" t="s">
        <v>152</v>
      </c>
      <c r="B332" s="1"/>
      <c r="C332" s="1" t="s">
        <v>774</v>
      </c>
      <c r="D332" s="15">
        <f t="shared" si="79"/>
        <v>37.121212121212118</v>
      </c>
      <c r="E332" s="11">
        <v>14.393939393939393</v>
      </c>
      <c r="F332" s="11">
        <v>22.727272727272727</v>
      </c>
      <c r="G332" s="12">
        <v>56.999999999999993</v>
      </c>
      <c r="H332" s="12">
        <v>100</v>
      </c>
      <c r="I332" s="12">
        <f t="shared" si="69"/>
        <v>2</v>
      </c>
      <c r="J332" s="12" t="str">
        <f t="shared" si="78"/>
        <v>Đạt</v>
      </c>
      <c r="K332" s="10"/>
      <c r="L332" s="96">
        <f t="shared" si="75"/>
        <v>37.120000000000005</v>
      </c>
      <c r="M332" s="114">
        <v>14.39</v>
      </c>
      <c r="N332" s="114">
        <v>22.73</v>
      </c>
      <c r="O332" s="12">
        <v>56.999999999999993</v>
      </c>
      <c r="P332" s="97">
        <v>98.496240601503757</v>
      </c>
      <c r="Q332" s="12">
        <f t="shared" si="76"/>
        <v>2</v>
      </c>
      <c r="R332" s="12" t="str">
        <f t="shared" si="77"/>
        <v>Đạt</v>
      </c>
      <c r="S332" s="10"/>
      <c r="T332" s="95"/>
    </row>
    <row r="333" spans="1:21" s="84" customFormat="1" hidden="1" x14ac:dyDescent="0.25">
      <c r="A333" s="9" t="s">
        <v>153</v>
      </c>
      <c r="B333" s="1"/>
      <c r="C333" s="1" t="s">
        <v>775</v>
      </c>
      <c r="D333" s="15">
        <f t="shared" si="79"/>
        <v>27.810650887573964</v>
      </c>
      <c r="E333" s="11">
        <v>10.059171597633137</v>
      </c>
      <c r="F333" s="11">
        <v>17.751479289940828</v>
      </c>
      <c r="G333" s="12">
        <v>55.000000000000007</v>
      </c>
      <c r="H333" s="12">
        <v>100</v>
      </c>
      <c r="I333" s="12">
        <f t="shared" si="69"/>
        <v>2</v>
      </c>
      <c r="J333" s="12" t="str">
        <f t="shared" si="78"/>
        <v>Đạt</v>
      </c>
      <c r="K333" s="10"/>
      <c r="L333" s="96">
        <f t="shared" si="75"/>
        <v>27.810000000000002</v>
      </c>
      <c r="M333" s="114">
        <v>10.06</v>
      </c>
      <c r="N333" s="114">
        <v>17.75</v>
      </c>
      <c r="O333" s="12">
        <v>55.000000000000007</v>
      </c>
      <c r="P333" s="97">
        <v>96.4</v>
      </c>
      <c r="Q333" s="12">
        <f t="shared" si="76"/>
        <v>2</v>
      </c>
      <c r="R333" s="12" t="str">
        <f t="shared" si="77"/>
        <v>Đạt</v>
      </c>
      <c r="S333" s="10"/>
      <c r="T333" s="95"/>
    </row>
    <row r="334" spans="1:21" s="84" customFormat="1" hidden="1" x14ac:dyDescent="0.25">
      <c r="A334" s="9" t="s">
        <v>154</v>
      </c>
      <c r="B334" s="1"/>
      <c r="C334" s="1" t="s">
        <v>776</v>
      </c>
      <c r="D334" s="15">
        <f t="shared" si="79"/>
        <v>27.868852459016392</v>
      </c>
      <c r="E334" s="11">
        <v>11.475409836065573</v>
      </c>
      <c r="F334" s="11">
        <v>16.393442622950818</v>
      </c>
      <c r="G334" s="12">
        <v>56.999999999999993</v>
      </c>
      <c r="H334" s="12">
        <v>100</v>
      </c>
      <c r="I334" s="12">
        <f t="shared" si="69"/>
        <v>2</v>
      </c>
      <c r="J334" s="12" t="str">
        <f t="shared" si="78"/>
        <v>Đạt</v>
      </c>
      <c r="K334" s="10"/>
      <c r="L334" s="96">
        <f t="shared" si="75"/>
        <v>27.87</v>
      </c>
      <c r="M334" s="114">
        <v>11.48</v>
      </c>
      <c r="N334" s="114">
        <v>16.39</v>
      </c>
      <c r="O334" s="12">
        <v>56.999999999999993</v>
      </c>
      <c r="P334" s="97">
        <v>100</v>
      </c>
      <c r="Q334" s="12">
        <f t="shared" si="76"/>
        <v>2</v>
      </c>
      <c r="R334" s="12" t="str">
        <f t="shared" si="77"/>
        <v>Đạt</v>
      </c>
      <c r="S334" s="10"/>
      <c r="T334" s="95"/>
    </row>
    <row r="335" spans="1:21" s="84" customFormat="1" hidden="1" x14ac:dyDescent="0.25">
      <c r="A335" s="9" t="s">
        <v>155</v>
      </c>
      <c r="B335" s="1"/>
      <c r="C335" s="1" t="s">
        <v>777</v>
      </c>
      <c r="D335" s="15">
        <f t="shared" si="79"/>
        <v>39.00709219858156</v>
      </c>
      <c r="E335" s="11">
        <v>12.056737588652481</v>
      </c>
      <c r="F335" s="11">
        <v>26.950354609929079</v>
      </c>
      <c r="G335" s="12">
        <v>55.000000000000007</v>
      </c>
      <c r="H335" s="12">
        <v>100</v>
      </c>
      <c r="I335" s="12">
        <f t="shared" si="69"/>
        <v>2</v>
      </c>
      <c r="J335" s="12" t="str">
        <f t="shared" si="78"/>
        <v>Đạt</v>
      </c>
      <c r="K335" s="10"/>
      <c r="L335" s="96">
        <f t="shared" si="75"/>
        <v>39.01</v>
      </c>
      <c r="M335" s="114">
        <v>12.06</v>
      </c>
      <c r="N335" s="114">
        <v>26.95</v>
      </c>
      <c r="O335" s="12">
        <v>55.000000000000007</v>
      </c>
      <c r="P335" s="97">
        <v>96.5</v>
      </c>
      <c r="Q335" s="12">
        <f t="shared" si="76"/>
        <v>2</v>
      </c>
      <c r="R335" s="12" t="str">
        <f t="shared" si="77"/>
        <v>Đạt</v>
      </c>
      <c r="S335" s="10"/>
      <c r="T335" s="95"/>
    </row>
    <row r="336" spans="1:21" s="84" customFormat="1" hidden="1" x14ac:dyDescent="0.25">
      <c r="A336" s="9" t="s">
        <v>156</v>
      </c>
      <c r="B336" s="1"/>
      <c r="C336" s="1" t="s">
        <v>778</v>
      </c>
      <c r="D336" s="15">
        <f t="shared" si="79"/>
        <v>29.6</v>
      </c>
      <c r="E336" s="11">
        <v>9.6</v>
      </c>
      <c r="F336" s="11">
        <v>20</v>
      </c>
      <c r="G336" s="12">
        <v>63</v>
      </c>
      <c r="H336" s="12">
        <v>100</v>
      </c>
      <c r="I336" s="12">
        <f t="shared" si="69"/>
        <v>1</v>
      </c>
      <c r="J336" s="12" t="str">
        <f t="shared" si="78"/>
        <v>Không đạt</v>
      </c>
      <c r="K336" s="10"/>
      <c r="L336" s="96">
        <f t="shared" si="75"/>
        <v>29.6</v>
      </c>
      <c r="M336" s="114">
        <v>9.6</v>
      </c>
      <c r="N336" s="114">
        <v>20</v>
      </c>
      <c r="O336" s="12">
        <v>63</v>
      </c>
      <c r="P336" s="97">
        <v>93.7</v>
      </c>
      <c r="Q336" s="12">
        <f t="shared" si="76"/>
        <v>1</v>
      </c>
      <c r="R336" s="12" t="str">
        <f t="shared" si="77"/>
        <v>Không đạt</v>
      </c>
      <c r="S336" s="10"/>
      <c r="T336" s="95"/>
    </row>
    <row r="337" spans="1:20" s="84" customFormat="1" hidden="1" x14ac:dyDescent="0.25">
      <c r="A337" s="9" t="s">
        <v>157</v>
      </c>
      <c r="B337" s="1"/>
      <c r="C337" s="1" t="s">
        <v>779</v>
      </c>
      <c r="D337" s="15">
        <f t="shared" si="79"/>
        <v>28.96551724137931</v>
      </c>
      <c r="E337" s="11">
        <v>8.9655172413793096</v>
      </c>
      <c r="F337" s="11">
        <v>20</v>
      </c>
      <c r="G337" s="12">
        <v>64</v>
      </c>
      <c r="H337" s="12">
        <v>100</v>
      </c>
      <c r="I337" s="12">
        <f t="shared" si="69"/>
        <v>1</v>
      </c>
      <c r="J337" s="12" t="str">
        <f t="shared" si="78"/>
        <v>Không đạt</v>
      </c>
      <c r="K337" s="10"/>
      <c r="L337" s="96">
        <f t="shared" si="75"/>
        <v>28.97</v>
      </c>
      <c r="M337" s="114">
        <v>8.9700000000000006</v>
      </c>
      <c r="N337" s="114">
        <v>20</v>
      </c>
      <c r="O337" s="12">
        <v>64</v>
      </c>
      <c r="P337" s="97">
        <v>95.3</v>
      </c>
      <c r="Q337" s="12">
        <f t="shared" si="76"/>
        <v>1</v>
      </c>
      <c r="R337" s="12" t="str">
        <f t="shared" si="77"/>
        <v>Không đạt</v>
      </c>
      <c r="S337" s="10"/>
      <c r="T337" s="95"/>
    </row>
    <row r="338" spans="1:20" s="84" customFormat="1" hidden="1" x14ac:dyDescent="0.25">
      <c r="A338" s="9" t="s">
        <v>158</v>
      </c>
      <c r="B338" s="1"/>
      <c r="C338" s="1" t="s">
        <v>780</v>
      </c>
      <c r="D338" s="15">
        <f t="shared" si="79"/>
        <v>61.111111111111114</v>
      </c>
      <c r="E338" s="11">
        <v>23.611111111111111</v>
      </c>
      <c r="F338" s="11">
        <v>37.5</v>
      </c>
      <c r="G338" s="12">
        <v>54</v>
      </c>
      <c r="H338" s="12">
        <v>100</v>
      </c>
      <c r="I338" s="12">
        <f t="shared" si="69"/>
        <v>2</v>
      </c>
      <c r="J338" s="12" t="str">
        <f t="shared" si="78"/>
        <v>Đạt</v>
      </c>
      <c r="K338" s="10"/>
      <c r="L338" s="96">
        <f t="shared" si="75"/>
        <v>61.11</v>
      </c>
      <c r="M338" s="114">
        <v>23.61</v>
      </c>
      <c r="N338" s="114">
        <v>37.5</v>
      </c>
      <c r="O338" s="12">
        <v>54</v>
      </c>
      <c r="P338" s="97">
        <v>93.1</v>
      </c>
      <c r="Q338" s="12">
        <f t="shared" si="76"/>
        <v>2</v>
      </c>
      <c r="R338" s="12" t="str">
        <f t="shared" si="77"/>
        <v>Đạt</v>
      </c>
      <c r="S338" s="10"/>
      <c r="T338" s="95"/>
    </row>
    <row r="339" spans="1:20" s="84" customFormat="1" hidden="1" x14ac:dyDescent="0.25">
      <c r="A339" s="9" t="s">
        <v>159</v>
      </c>
      <c r="B339" s="1"/>
      <c r="C339" s="1" t="s">
        <v>316</v>
      </c>
      <c r="D339" s="15">
        <f t="shared" si="79"/>
        <v>2.3952095808383236</v>
      </c>
      <c r="E339" s="11">
        <v>1.1976047904191618</v>
      </c>
      <c r="F339" s="11">
        <v>1.1976047904191618</v>
      </c>
      <c r="G339" s="12">
        <v>70</v>
      </c>
      <c r="H339" s="12">
        <v>100</v>
      </c>
      <c r="I339" s="12">
        <f t="shared" si="69"/>
        <v>0</v>
      </c>
      <c r="J339" s="12" t="str">
        <f t="shared" si="78"/>
        <v>Không đạt</v>
      </c>
      <c r="K339" s="10"/>
      <c r="L339" s="96">
        <f t="shared" si="75"/>
        <v>2.4</v>
      </c>
      <c r="M339" s="114">
        <v>1.2</v>
      </c>
      <c r="N339" s="114">
        <v>1.2</v>
      </c>
      <c r="O339" s="12">
        <v>70</v>
      </c>
      <c r="P339" s="97">
        <v>98.8</v>
      </c>
      <c r="Q339" s="12">
        <f t="shared" si="76"/>
        <v>0</v>
      </c>
      <c r="R339" s="12" t="str">
        <f t="shared" si="77"/>
        <v>Không đạt</v>
      </c>
      <c r="S339" s="10"/>
      <c r="T339" s="95"/>
    </row>
    <row r="340" spans="1:20" s="84" customFormat="1" hidden="1" x14ac:dyDescent="0.25">
      <c r="A340" s="9" t="s">
        <v>160</v>
      </c>
      <c r="B340" s="1"/>
      <c r="C340" s="1" t="s">
        <v>781</v>
      </c>
      <c r="D340" s="15">
        <f t="shared" si="79"/>
        <v>19.428571428571431</v>
      </c>
      <c r="E340" s="11">
        <v>4.5714285714285712</v>
      </c>
      <c r="F340" s="11">
        <v>14.857142857142858</v>
      </c>
      <c r="G340" s="12">
        <v>52</v>
      </c>
      <c r="H340" s="12">
        <v>100</v>
      </c>
      <c r="I340" s="12">
        <f t="shared" si="69"/>
        <v>2</v>
      </c>
      <c r="J340" s="12" t="str">
        <f t="shared" si="78"/>
        <v>Đạt</v>
      </c>
      <c r="K340" s="10"/>
      <c r="L340" s="96">
        <f t="shared" si="75"/>
        <v>19.43</v>
      </c>
      <c r="M340" s="114">
        <v>4.57</v>
      </c>
      <c r="N340" s="114">
        <v>14.86</v>
      </c>
      <c r="O340" s="12">
        <v>52</v>
      </c>
      <c r="P340" s="97">
        <v>98.6</v>
      </c>
      <c r="Q340" s="12">
        <f t="shared" si="76"/>
        <v>2</v>
      </c>
      <c r="R340" s="12" t="str">
        <f t="shared" si="77"/>
        <v>Đạt</v>
      </c>
      <c r="S340" s="10"/>
      <c r="T340" s="95"/>
    </row>
    <row r="341" spans="1:20" s="84" customFormat="1" hidden="1" x14ac:dyDescent="0.25">
      <c r="A341" s="9" t="s">
        <v>161</v>
      </c>
      <c r="B341" s="1"/>
      <c r="C341" s="1" t="s">
        <v>782</v>
      </c>
      <c r="D341" s="15">
        <f t="shared" si="79"/>
        <v>22.413793103448278</v>
      </c>
      <c r="E341" s="11">
        <v>5.1724137931034484</v>
      </c>
      <c r="F341" s="11">
        <v>17.241379310344829</v>
      </c>
      <c r="G341" s="12">
        <v>54</v>
      </c>
      <c r="H341" s="12">
        <v>100</v>
      </c>
      <c r="I341" s="12">
        <f t="shared" si="69"/>
        <v>2</v>
      </c>
      <c r="J341" s="12" t="str">
        <f t="shared" si="78"/>
        <v>Đạt</v>
      </c>
      <c r="K341" s="10"/>
      <c r="L341" s="96">
        <f t="shared" si="75"/>
        <v>22.409999999999997</v>
      </c>
      <c r="M341" s="114">
        <v>5.17</v>
      </c>
      <c r="N341" s="114">
        <v>17.239999999999998</v>
      </c>
      <c r="O341" s="12">
        <v>54</v>
      </c>
      <c r="P341" s="97">
        <v>92.6</v>
      </c>
      <c r="Q341" s="12">
        <f t="shared" si="76"/>
        <v>2</v>
      </c>
      <c r="R341" s="12" t="str">
        <f t="shared" si="77"/>
        <v>Đạt</v>
      </c>
      <c r="S341" s="10"/>
      <c r="T341" s="95"/>
    </row>
    <row r="342" spans="1:20" s="84" customFormat="1" hidden="1" x14ac:dyDescent="0.25">
      <c r="A342" s="9" t="s">
        <v>162</v>
      </c>
      <c r="B342" s="1"/>
      <c r="C342" s="1" t="s">
        <v>783</v>
      </c>
      <c r="D342" s="15">
        <f t="shared" si="79"/>
        <v>36.090225563909769</v>
      </c>
      <c r="E342" s="11">
        <v>8.2706766917293226</v>
      </c>
      <c r="F342" s="11">
        <v>27.819548872180448</v>
      </c>
      <c r="G342" s="12">
        <v>56.999999999999993</v>
      </c>
      <c r="H342" s="12">
        <v>100</v>
      </c>
      <c r="I342" s="12">
        <f t="shared" si="69"/>
        <v>2</v>
      </c>
      <c r="J342" s="12" t="str">
        <f t="shared" si="78"/>
        <v>Đạt</v>
      </c>
      <c r="K342" s="10"/>
      <c r="L342" s="96">
        <f t="shared" si="75"/>
        <v>36.090000000000003</v>
      </c>
      <c r="M342" s="114">
        <v>8.27</v>
      </c>
      <c r="N342" s="114">
        <v>27.82</v>
      </c>
      <c r="O342" s="12">
        <v>56.999999999999993</v>
      </c>
      <c r="P342" s="97">
        <v>95.4</v>
      </c>
      <c r="Q342" s="12">
        <f t="shared" si="76"/>
        <v>2</v>
      </c>
      <c r="R342" s="12" t="str">
        <f t="shared" si="77"/>
        <v>Đạt</v>
      </c>
      <c r="S342" s="10"/>
      <c r="T342" s="95"/>
    </row>
    <row r="343" spans="1:20" s="84" customFormat="1" hidden="1" x14ac:dyDescent="0.25">
      <c r="A343" s="9" t="s">
        <v>163</v>
      </c>
      <c r="B343" s="1"/>
      <c r="C343" s="1" t="s">
        <v>784</v>
      </c>
      <c r="D343" s="15">
        <f t="shared" si="79"/>
        <v>65.957446808510639</v>
      </c>
      <c r="E343" s="11">
        <v>44.680851063829785</v>
      </c>
      <c r="F343" s="11">
        <v>21.276595744680851</v>
      </c>
      <c r="G343" s="12">
        <v>55.000000000000007</v>
      </c>
      <c r="H343" s="12">
        <v>100</v>
      </c>
      <c r="I343" s="12">
        <f t="shared" si="69"/>
        <v>2</v>
      </c>
      <c r="J343" s="12" t="str">
        <f t="shared" si="78"/>
        <v>Đạt</v>
      </c>
      <c r="K343" s="10"/>
      <c r="L343" s="96">
        <f t="shared" si="75"/>
        <v>65.960000000000008</v>
      </c>
      <c r="M343" s="114">
        <v>44.68</v>
      </c>
      <c r="N343" s="114">
        <v>21.28</v>
      </c>
      <c r="O343" s="12">
        <v>55.000000000000007</v>
      </c>
      <c r="P343" s="97">
        <v>96</v>
      </c>
      <c r="Q343" s="12">
        <f t="shared" si="76"/>
        <v>2</v>
      </c>
      <c r="R343" s="12" t="str">
        <f t="shared" si="77"/>
        <v>Đạt</v>
      </c>
      <c r="S343" s="10"/>
      <c r="T343" s="95"/>
    </row>
    <row r="344" spans="1:20" s="84" customFormat="1" hidden="1" x14ac:dyDescent="0.25">
      <c r="A344" s="9" t="s">
        <v>164</v>
      </c>
      <c r="B344" s="1"/>
      <c r="C344" s="1" t="s">
        <v>785</v>
      </c>
      <c r="D344" s="15">
        <f t="shared" si="79"/>
        <v>35.606060606060609</v>
      </c>
      <c r="E344" s="11">
        <v>12.878787878787879</v>
      </c>
      <c r="F344" s="11">
        <v>22.727272727272727</v>
      </c>
      <c r="G344" s="12">
        <v>52</v>
      </c>
      <c r="H344" s="12">
        <v>100</v>
      </c>
      <c r="I344" s="12">
        <f t="shared" si="69"/>
        <v>2</v>
      </c>
      <c r="J344" s="12" t="str">
        <f t="shared" si="78"/>
        <v>Đạt</v>
      </c>
      <c r="K344" s="10"/>
      <c r="L344" s="96">
        <f t="shared" si="75"/>
        <v>35.61</v>
      </c>
      <c r="M344" s="114">
        <v>12.88</v>
      </c>
      <c r="N344" s="114">
        <v>22.73</v>
      </c>
      <c r="O344" s="12">
        <v>52</v>
      </c>
      <c r="P344" s="97">
        <v>100</v>
      </c>
      <c r="Q344" s="12">
        <f t="shared" si="76"/>
        <v>2</v>
      </c>
      <c r="R344" s="12" t="str">
        <f t="shared" si="77"/>
        <v>Đạt</v>
      </c>
      <c r="S344" s="10"/>
      <c r="T344" s="95"/>
    </row>
    <row r="345" spans="1:20" s="84" customFormat="1" hidden="1" x14ac:dyDescent="0.25">
      <c r="A345" s="9" t="s">
        <v>165</v>
      </c>
      <c r="B345" s="1"/>
      <c r="C345" s="1" t="s">
        <v>786</v>
      </c>
      <c r="D345" s="15">
        <f t="shared" si="79"/>
        <v>37.5</v>
      </c>
      <c r="E345" s="11">
        <v>17.857142857142858</v>
      </c>
      <c r="F345" s="11">
        <v>19.642857142857142</v>
      </c>
      <c r="G345" s="12">
        <v>55.000000000000007</v>
      </c>
      <c r="H345" s="12">
        <v>100</v>
      </c>
      <c r="I345" s="12">
        <f t="shared" si="69"/>
        <v>2</v>
      </c>
      <c r="J345" s="12" t="str">
        <f t="shared" si="78"/>
        <v>Đạt</v>
      </c>
      <c r="K345" s="10"/>
      <c r="L345" s="96">
        <f t="shared" si="75"/>
        <v>37.5</v>
      </c>
      <c r="M345" s="114">
        <v>17.86</v>
      </c>
      <c r="N345" s="114">
        <v>19.64</v>
      </c>
      <c r="O345" s="12">
        <v>55.000000000000007</v>
      </c>
      <c r="P345" s="97">
        <v>94.6</v>
      </c>
      <c r="Q345" s="12">
        <f t="shared" si="76"/>
        <v>2</v>
      </c>
      <c r="R345" s="12" t="str">
        <f t="shared" si="77"/>
        <v>Đạt</v>
      </c>
      <c r="S345" s="10"/>
      <c r="T345" s="95"/>
    </row>
    <row r="346" spans="1:20" s="84" customFormat="1" hidden="1" x14ac:dyDescent="0.25">
      <c r="A346" s="9" t="s">
        <v>166</v>
      </c>
      <c r="B346" s="1"/>
      <c r="C346" s="1" t="s">
        <v>787</v>
      </c>
      <c r="D346" s="15">
        <f t="shared" si="79"/>
        <v>50.632911392405063</v>
      </c>
      <c r="E346" s="11">
        <v>16.455696202531644</v>
      </c>
      <c r="F346" s="11">
        <v>34.177215189873415</v>
      </c>
      <c r="G346" s="12">
        <v>54</v>
      </c>
      <c r="H346" s="12">
        <v>100</v>
      </c>
      <c r="I346" s="12">
        <f t="shared" si="69"/>
        <v>2</v>
      </c>
      <c r="J346" s="12" t="str">
        <f t="shared" si="78"/>
        <v>Đạt</v>
      </c>
      <c r="K346" s="10"/>
      <c r="L346" s="96">
        <f t="shared" si="75"/>
        <v>50.64</v>
      </c>
      <c r="M346" s="114">
        <v>16.46</v>
      </c>
      <c r="N346" s="114">
        <v>34.18</v>
      </c>
      <c r="O346" s="12">
        <v>54</v>
      </c>
      <c r="P346" s="97">
        <v>94.9</v>
      </c>
      <c r="Q346" s="12">
        <f t="shared" si="76"/>
        <v>2</v>
      </c>
      <c r="R346" s="12" t="str">
        <f t="shared" si="77"/>
        <v>Đạt</v>
      </c>
      <c r="S346" s="10"/>
      <c r="T346" s="95"/>
    </row>
    <row r="347" spans="1:20" s="84" customFormat="1" hidden="1" x14ac:dyDescent="0.25">
      <c r="A347" s="9" t="s">
        <v>167</v>
      </c>
      <c r="B347" s="1"/>
      <c r="C347" s="1" t="s">
        <v>788</v>
      </c>
      <c r="D347" s="15">
        <f t="shared" si="79"/>
        <v>57.377049180327866</v>
      </c>
      <c r="E347" s="11">
        <v>11.475409836065573</v>
      </c>
      <c r="F347" s="11">
        <v>45.901639344262293</v>
      </c>
      <c r="G347" s="12">
        <v>52</v>
      </c>
      <c r="H347" s="12">
        <v>100</v>
      </c>
      <c r="I347" s="12">
        <f t="shared" si="69"/>
        <v>2</v>
      </c>
      <c r="J347" s="12" t="str">
        <f t="shared" si="78"/>
        <v>Đạt</v>
      </c>
      <c r="K347" s="10"/>
      <c r="L347" s="96">
        <f t="shared" si="75"/>
        <v>57.379999999999995</v>
      </c>
      <c r="M347" s="114">
        <v>11.48</v>
      </c>
      <c r="N347" s="114">
        <v>45.9</v>
      </c>
      <c r="O347" s="12">
        <v>52</v>
      </c>
      <c r="P347" s="97">
        <v>92.1</v>
      </c>
      <c r="Q347" s="12">
        <f t="shared" si="76"/>
        <v>2</v>
      </c>
      <c r="R347" s="12" t="str">
        <f t="shared" si="77"/>
        <v>Đạt</v>
      </c>
      <c r="S347" s="10"/>
      <c r="T347" s="95"/>
    </row>
    <row r="348" spans="1:20" s="84" customFormat="1" hidden="1" x14ac:dyDescent="0.25">
      <c r="A348" s="9" t="s">
        <v>168</v>
      </c>
      <c r="B348" s="1"/>
      <c r="C348" s="1" t="s">
        <v>789</v>
      </c>
      <c r="D348" s="15">
        <f t="shared" si="79"/>
        <v>35.238095238095241</v>
      </c>
      <c r="E348" s="11">
        <v>16.19047619047619</v>
      </c>
      <c r="F348" s="11">
        <v>19.047619047619047</v>
      </c>
      <c r="G348" s="12">
        <v>55.000000000000007</v>
      </c>
      <c r="H348" s="12">
        <v>100</v>
      </c>
      <c r="I348" s="12">
        <f t="shared" si="69"/>
        <v>2</v>
      </c>
      <c r="J348" s="12" t="str">
        <f t="shared" si="78"/>
        <v>Đạt</v>
      </c>
      <c r="K348" s="10"/>
      <c r="L348" s="96">
        <f t="shared" si="75"/>
        <v>35.24</v>
      </c>
      <c r="M348" s="114">
        <v>16.190000000000001</v>
      </c>
      <c r="N348" s="114">
        <v>19.05</v>
      </c>
      <c r="O348" s="12">
        <v>55.000000000000007</v>
      </c>
      <c r="P348" s="97">
        <v>95.3</v>
      </c>
      <c r="Q348" s="12">
        <f t="shared" si="76"/>
        <v>2</v>
      </c>
      <c r="R348" s="12" t="str">
        <f t="shared" si="77"/>
        <v>Đạt</v>
      </c>
      <c r="S348" s="10"/>
      <c r="T348" s="95"/>
    </row>
    <row r="349" spans="1:20" s="84" customFormat="1" hidden="1" x14ac:dyDescent="0.25">
      <c r="A349" s="9" t="s">
        <v>169</v>
      </c>
      <c r="B349" s="1"/>
      <c r="C349" s="1" t="s">
        <v>790</v>
      </c>
      <c r="D349" s="15">
        <f t="shared" si="79"/>
        <v>39.583333333333329</v>
      </c>
      <c r="E349" s="11">
        <v>8.3333333333333321</v>
      </c>
      <c r="F349" s="11">
        <v>31.25</v>
      </c>
      <c r="G349" s="12">
        <v>56.000000000000007</v>
      </c>
      <c r="H349" s="12">
        <v>100</v>
      </c>
      <c r="I349" s="12">
        <f t="shared" si="69"/>
        <v>2</v>
      </c>
      <c r="J349" s="12" t="str">
        <f t="shared" si="78"/>
        <v>Đạt</v>
      </c>
      <c r="K349" s="10"/>
      <c r="L349" s="96">
        <f t="shared" si="75"/>
        <v>39.58</v>
      </c>
      <c r="M349" s="114">
        <v>8.33</v>
      </c>
      <c r="N349" s="114">
        <v>31.25</v>
      </c>
      <c r="O349" s="12">
        <v>56.000000000000007</v>
      </c>
      <c r="P349" s="97">
        <v>96</v>
      </c>
      <c r="Q349" s="12">
        <f t="shared" si="76"/>
        <v>2</v>
      </c>
      <c r="R349" s="12" t="str">
        <f t="shared" si="77"/>
        <v>Đạt</v>
      </c>
      <c r="S349" s="10"/>
      <c r="T349" s="95"/>
    </row>
    <row r="350" spans="1:20" s="84" customFormat="1" hidden="1" x14ac:dyDescent="0.25">
      <c r="A350" s="9" t="s">
        <v>170</v>
      </c>
      <c r="B350" s="1"/>
      <c r="C350" s="1" t="s">
        <v>791</v>
      </c>
      <c r="D350" s="15">
        <f t="shared" si="79"/>
        <v>36.619718309859152</v>
      </c>
      <c r="E350" s="11">
        <v>2.8169014084507045</v>
      </c>
      <c r="F350" s="11">
        <v>33.802816901408448</v>
      </c>
      <c r="G350" s="12">
        <v>55.000000000000007</v>
      </c>
      <c r="H350" s="12">
        <v>100</v>
      </c>
      <c r="I350" s="12">
        <f t="shared" si="69"/>
        <v>2</v>
      </c>
      <c r="J350" s="12" t="str">
        <f t="shared" si="78"/>
        <v>Đạt</v>
      </c>
      <c r="K350" s="10"/>
      <c r="L350" s="96">
        <f t="shared" si="75"/>
        <v>36.619999999999997</v>
      </c>
      <c r="M350" s="114">
        <v>2.82</v>
      </c>
      <c r="N350" s="114">
        <v>33.799999999999997</v>
      </c>
      <c r="O350" s="12">
        <v>55.000000000000007</v>
      </c>
      <c r="P350" s="97">
        <v>100</v>
      </c>
      <c r="Q350" s="12">
        <f t="shared" si="76"/>
        <v>2</v>
      </c>
      <c r="R350" s="12" t="str">
        <f t="shared" si="77"/>
        <v>Đạt</v>
      </c>
      <c r="S350" s="10"/>
      <c r="T350" s="95"/>
    </row>
    <row r="351" spans="1:20" s="84" customFormat="1" hidden="1" x14ac:dyDescent="0.25">
      <c r="A351" s="9" t="s">
        <v>171</v>
      </c>
      <c r="B351" s="1"/>
      <c r="C351" s="1" t="s">
        <v>792</v>
      </c>
      <c r="D351" s="15">
        <f t="shared" si="79"/>
        <v>27.837628865979383</v>
      </c>
      <c r="E351" s="11">
        <v>8.25</v>
      </c>
      <c r="F351" s="11">
        <v>19.587628865979383</v>
      </c>
      <c r="G351" s="12">
        <v>61</v>
      </c>
      <c r="H351" s="12">
        <v>100</v>
      </c>
      <c r="I351" s="12">
        <f t="shared" si="69"/>
        <v>1</v>
      </c>
      <c r="J351" s="12" t="str">
        <f t="shared" si="78"/>
        <v>Không đạt</v>
      </c>
      <c r="K351" s="10"/>
      <c r="L351" s="96">
        <f t="shared" si="75"/>
        <v>27.84</v>
      </c>
      <c r="M351" s="114">
        <v>8.25</v>
      </c>
      <c r="N351" s="114">
        <v>19.59</v>
      </c>
      <c r="O351" s="12">
        <v>61</v>
      </c>
      <c r="P351" s="97">
        <v>100</v>
      </c>
      <c r="Q351" s="12">
        <f t="shared" si="76"/>
        <v>1</v>
      </c>
      <c r="R351" s="12" t="str">
        <f t="shared" si="77"/>
        <v>Không đạt</v>
      </c>
      <c r="S351" s="10"/>
      <c r="T351" s="95"/>
    </row>
    <row r="352" spans="1:20" s="84" customFormat="1" ht="30" hidden="1" x14ac:dyDescent="0.25">
      <c r="A352" s="9" t="s">
        <v>172</v>
      </c>
      <c r="B352" s="1"/>
      <c r="C352" s="1" t="s">
        <v>793</v>
      </c>
      <c r="D352" s="15">
        <f t="shared" si="79"/>
        <v>4.2857142857142856</v>
      </c>
      <c r="E352" s="11">
        <v>0</v>
      </c>
      <c r="F352" s="11">
        <v>4.2857142857142856</v>
      </c>
      <c r="G352" s="12">
        <v>70</v>
      </c>
      <c r="H352" s="12">
        <v>100</v>
      </c>
      <c r="I352" s="12">
        <f t="shared" si="69"/>
        <v>0</v>
      </c>
      <c r="J352" s="12" t="str">
        <f t="shared" si="78"/>
        <v>Không đạt</v>
      </c>
      <c r="K352" s="10"/>
      <c r="L352" s="96">
        <f t="shared" si="75"/>
        <v>4.29</v>
      </c>
      <c r="M352" s="114">
        <v>0</v>
      </c>
      <c r="N352" s="114">
        <v>4.29</v>
      </c>
      <c r="O352" s="12">
        <v>70</v>
      </c>
      <c r="P352" s="97">
        <v>97.9</v>
      </c>
      <c r="Q352" s="12">
        <f t="shared" si="76"/>
        <v>0</v>
      </c>
      <c r="R352" s="12" t="str">
        <f t="shared" si="77"/>
        <v>Không đạt</v>
      </c>
      <c r="S352" s="10"/>
      <c r="T352" s="95"/>
    </row>
    <row r="353" spans="1:21" s="84" customFormat="1" hidden="1" x14ac:dyDescent="0.25">
      <c r="A353" s="9" t="s">
        <v>173</v>
      </c>
      <c r="B353" s="1"/>
      <c r="C353" s="1" t="s">
        <v>794</v>
      </c>
      <c r="D353" s="15">
        <f t="shared" si="79"/>
        <v>49.350649350649348</v>
      </c>
      <c r="E353" s="11">
        <v>20.779220779220779</v>
      </c>
      <c r="F353" s="11">
        <v>28.571428571428569</v>
      </c>
      <c r="G353" s="12">
        <v>57.999999999999993</v>
      </c>
      <c r="H353" s="12">
        <v>100</v>
      </c>
      <c r="I353" s="12">
        <f t="shared" si="69"/>
        <v>2</v>
      </c>
      <c r="J353" s="12" t="str">
        <f t="shared" si="78"/>
        <v>Đạt</v>
      </c>
      <c r="K353" s="10"/>
      <c r="L353" s="96">
        <f t="shared" si="75"/>
        <v>49.35</v>
      </c>
      <c r="M353" s="114">
        <v>20.78</v>
      </c>
      <c r="N353" s="114">
        <v>28.57</v>
      </c>
      <c r="O353" s="12">
        <v>57.999999999999993</v>
      </c>
      <c r="P353" s="97">
        <v>100</v>
      </c>
      <c r="Q353" s="12">
        <f t="shared" si="76"/>
        <v>2</v>
      </c>
      <c r="R353" s="12" t="str">
        <f t="shared" si="77"/>
        <v>Đạt</v>
      </c>
      <c r="S353" s="10"/>
      <c r="T353" s="95"/>
    </row>
    <row r="354" spans="1:21" s="84" customFormat="1" hidden="1" x14ac:dyDescent="0.25">
      <c r="A354" s="9" t="s">
        <v>174</v>
      </c>
      <c r="B354" s="1"/>
      <c r="C354" s="1" t="s">
        <v>795</v>
      </c>
      <c r="D354" s="15">
        <f t="shared" si="79"/>
        <v>71.428571428571431</v>
      </c>
      <c r="E354" s="11">
        <v>46.153846153846153</v>
      </c>
      <c r="F354" s="11">
        <v>25.274725274725274</v>
      </c>
      <c r="G354" s="12">
        <v>53</v>
      </c>
      <c r="H354" s="12">
        <v>100</v>
      </c>
      <c r="I354" s="12">
        <f t="shared" si="69"/>
        <v>2</v>
      </c>
      <c r="J354" s="12" t="str">
        <f t="shared" si="78"/>
        <v>Đạt</v>
      </c>
      <c r="K354" s="10"/>
      <c r="L354" s="96">
        <f t="shared" si="75"/>
        <v>71.47</v>
      </c>
      <c r="M354" s="114">
        <v>46.2</v>
      </c>
      <c r="N354" s="114">
        <v>25.27</v>
      </c>
      <c r="O354" s="12">
        <v>53</v>
      </c>
      <c r="P354" s="97">
        <v>100</v>
      </c>
      <c r="Q354" s="12">
        <f t="shared" si="76"/>
        <v>2</v>
      </c>
      <c r="R354" s="12" t="str">
        <f t="shared" si="77"/>
        <v>Đạt</v>
      </c>
      <c r="S354" s="10"/>
      <c r="T354" s="95"/>
    </row>
    <row r="355" spans="1:21" s="84" customFormat="1" hidden="1" x14ac:dyDescent="0.25">
      <c r="A355" s="9" t="s">
        <v>175</v>
      </c>
      <c r="B355" s="1"/>
      <c r="C355" s="1" t="s">
        <v>796</v>
      </c>
      <c r="D355" s="15">
        <f t="shared" si="79"/>
        <v>22.522522522522522</v>
      </c>
      <c r="E355" s="11">
        <v>4.5045045045045047</v>
      </c>
      <c r="F355" s="11">
        <v>18.018018018018019</v>
      </c>
      <c r="G355" s="12">
        <v>70</v>
      </c>
      <c r="H355" s="12">
        <v>100</v>
      </c>
      <c r="I355" s="12">
        <f t="shared" si="69"/>
        <v>1</v>
      </c>
      <c r="J355" s="12" t="str">
        <f t="shared" si="78"/>
        <v>Không đạt</v>
      </c>
      <c r="K355" s="10"/>
      <c r="L355" s="96">
        <f t="shared" si="75"/>
        <v>22.52</v>
      </c>
      <c r="M355" s="114">
        <v>4.5</v>
      </c>
      <c r="N355" s="114">
        <v>18.02</v>
      </c>
      <c r="O355" s="12">
        <v>70</v>
      </c>
      <c r="P355" s="97">
        <v>100</v>
      </c>
      <c r="Q355" s="12">
        <f t="shared" si="76"/>
        <v>1</v>
      </c>
      <c r="R355" s="12" t="str">
        <f t="shared" si="77"/>
        <v>Không đạt</v>
      </c>
      <c r="S355" s="10"/>
      <c r="T355" s="95"/>
    </row>
    <row r="356" spans="1:21" s="84" customFormat="1" hidden="1" x14ac:dyDescent="0.25">
      <c r="A356" s="9" t="s">
        <v>176</v>
      </c>
      <c r="B356" s="1"/>
      <c r="C356" s="1" t="s">
        <v>797</v>
      </c>
      <c r="D356" s="15">
        <f t="shared" si="79"/>
        <v>33.018867924528301</v>
      </c>
      <c r="E356" s="11">
        <v>9.433962264150944</v>
      </c>
      <c r="F356" s="11">
        <v>23.584905660377359</v>
      </c>
      <c r="G356" s="12">
        <v>62</v>
      </c>
      <c r="H356" s="12">
        <v>100</v>
      </c>
      <c r="I356" s="12">
        <f t="shared" si="69"/>
        <v>1</v>
      </c>
      <c r="J356" s="12" t="str">
        <f t="shared" si="78"/>
        <v>Không đạt</v>
      </c>
      <c r="K356" s="10"/>
      <c r="L356" s="96">
        <f t="shared" si="75"/>
        <v>33.01</v>
      </c>
      <c r="M356" s="114">
        <v>9.43</v>
      </c>
      <c r="N356" s="114">
        <v>23.58</v>
      </c>
      <c r="O356" s="12">
        <v>62</v>
      </c>
      <c r="P356" s="97">
        <v>100</v>
      </c>
      <c r="Q356" s="12">
        <f t="shared" si="76"/>
        <v>1</v>
      </c>
      <c r="R356" s="12" t="str">
        <f t="shared" si="77"/>
        <v>Không đạt</v>
      </c>
      <c r="S356" s="10"/>
      <c r="T356" s="95"/>
    </row>
    <row r="357" spans="1:21" s="84" customFormat="1" hidden="1" x14ac:dyDescent="0.25">
      <c r="A357" s="9" t="s">
        <v>177</v>
      </c>
      <c r="B357" s="1"/>
      <c r="C357" s="1" t="s">
        <v>798</v>
      </c>
      <c r="D357" s="15">
        <f t="shared" si="79"/>
        <v>70.786516853932596</v>
      </c>
      <c r="E357" s="11">
        <v>34.831460674157306</v>
      </c>
      <c r="F357" s="11">
        <v>35.955056179775283</v>
      </c>
      <c r="G357" s="12">
        <v>55.000000000000007</v>
      </c>
      <c r="H357" s="12">
        <v>100</v>
      </c>
      <c r="I357" s="12">
        <f t="shared" si="69"/>
        <v>2</v>
      </c>
      <c r="J357" s="12" t="str">
        <f t="shared" si="78"/>
        <v>Đạt</v>
      </c>
      <c r="K357" s="10"/>
      <c r="L357" s="96">
        <f t="shared" si="75"/>
        <v>70.789999999999992</v>
      </c>
      <c r="M357" s="114">
        <v>34.83</v>
      </c>
      <c r="N357" s="114">
        <v>35.96</v>
      </c>
      <c r="O357" s="12">
        <v>55.000000000000007</v>
      </c>
      <c r="P357" s="97">
        <v>100</v>
      </c>
      <c r="Q357" s="12">
        <f t="shared" si="76"/>
        <v>2</v>
      </c>
      <c r="R357" s="12" t="str">
        <f t="shared" si="77"/>
        <v>Đạt</v>
      </c>
      <c r="S357" s="10"/>
      <c r="T357" s="95"/>
    </row>
    <row r="358" spans="1:21" s="84" customFormat="1" hidden="1" x14ac:dyDescent="0.25">
      <c r="A358" s="9" t="s">
        <v>178</v>
      </c>
      <c r="B358" s="1"/>
      <c r="C358" s="1" t="s">
        <v>799</v>
      </c>
      <c r="D358" s="15">
        <f t="shared" si="79"/>
        <v>18.421052631578945</v>
      </c>
      <c r="E358" s="11">
        <v>5.2631578947368416</v>
      </c>
      <c r="F358" s="11">
        <v>13.157894736842104</v>
      </c>
      <c r="G358" s="12">
        <v>64</v>
      </c>
      <c r="H358" s="12">
        <v>100</v>
      </c>
      <c r="I358" s="12">
        <f t="shared" si="69"/>
        <v>1</v>
      </c>
      <c r="J358" s="12" t="str">
        <f t="shared" si="78"/>
        <v>Không đạt</v>
      </c>
      <c r="K358" s="10"/>
      <c r="L358" s="96">
        <f t="shared" si="75"/>
        <v>18.420000000000002</v>
      </c>
      <c r="M358" s="114">
        <v>5.26</v>
      </c>
      <c r="N358" s="114">
        <v>13.16</v>
      </c>
      <c r="O358" s="12">
        <v>64</v>
      </c>
      <c r="P358" s="97">
        <v>100</v>
      </c>
      <c r="Q358" s="12">
        <f t="shared" si="76"/>
        <v>1</v>
      </c>
      <c r="R358" s="12" t="str">
        <f t="shared" si="77"/>
        <v>Không đạt</v>
      </c>
      <c r="S358" s="10"/>
      <c r="T358" s="95"/>
    </row>
    <row r="359" spans="1:21" s="84" customFormat="1" hidden="1" x14ac:dyDescent="0.25">
      <c r="A359" s="9" t="s">
        <v>179</v>
      </c>
      <c r="B359" s="1"/>
      <c r="C359" s="1" t="s">
        <v>800</v>
      </c>
      <c r="D359" s="15">
        <f t="shared" si="79"/>
        <v>11.811023622047243</v>
      </c>
      <c r="E359" s="11">
        <v>2.3622047244094486</v>
      </c>
      <c r="F359" s="11">
        <v>9.4488188976377945</v>
      </c>
      <c r="G359" s="12">
        <v>55.000000000000007</v>
      </c>
      <c r="H359" s="12">
        <v>100</v>
      </c>
      <c r="I359" s="12">
        <f t="shared" si="69"/>
        <v>1</v>
      </c>
      <c r="J359" s="12" t="str">
        <f t="shared" si="78"/>
        <v>Không đạt</v>
      </c>
      <c r="K359" s="10"/>
      <c r="L359" s="96">
        <f t="shared" si="75"/>
        <v>11.809999999999999</v>
      </c>
      <c r="M359" s="114">
        <v>2.36</v>
      </c>
      <c r="N359" s="114">
        <v>9.4499999999999993</v>
      </c>
      <c r="O359" s="12">
        <v>55.000000000000007</v>
      </c>
      <c r="P359" s="97">
        <v>98.5</v>
      </c>
      <c r="Q359" s="12">
        <f t="shared" si="76"/>
        <v>1</v>
      </c>
      <c r="R359" s="12" t="str">
        <f t="shared" si="77"/>
        <v>Không đạt</v>
      </c>
      <c r="S359" s="10"/>
      <c r="T359" s="95"/>
    </row>
    <row r="360" spans="1:21" s="84" customFormat="1" hidden="1" x14ac:dyDescent="0.25">
      <c r="A360" s="9" t="s">
        <v>180</v>
      </c>
      <c r="B360" s="1"/>
      <c r="C360" s="1" t="s">
        <v>801</v>
      </c>
      <c r="D360" s="15">
        <f t="shared" si="79"/>
        <v>10.9375</v>
      </c>
      <c r="E360" s="11">
        <v>3.125</v>
      </c>
      <c r="F360" s="11">
        <v>7.8125</v>
      </c>
      <c r="G360" s="12">
        <v>55.000000000000007</v>
      </c>
      <c r="H360" s="12">
        <v>100</v>
      </c>
      <c r="I360" s="12">
        <f t="shared" si="69"/>
        <v>1</v>
      </c>
      <c r="J360" s="12" t="str">
        <f t="shared" si="78"/>
        <v>Không đạt</v>
      </c>
      <c r="K360" s="10"/>
      <c r="L360" s="96">
        <f t="shared" si="75"/>
        <v>10.94</v>
      </c>
      <c r="M360" s="114">
        <v>3.13</v>
      </c>
      <c r="N360" s="114">
        <v>7.81</v>
      </c>
      <c r="O360" s="12">
        <v>55.000000000000007</v>
      </c>
      <c r="P360" s="97">
        <v>98.4</v>
      </c>
      <c r="Q360" s="12">
        <f t="shared" si="76"/>
        <v>1</v>
      </c>
      <c r="R360" s="12" t="str">
        <f t="shared" si="77"/>
        <v>Không đạt</v>
      </c>
      <c r="S360" s="10"/>
      <c r="T360" s="95"/>
    </row>
    <row r="361" spans="1:21" s="84" customFormat="1" hidden="1" x14ac:dyDescent="0.25">
      <c r="A361" s="9" t="s">
        <v>181</v>
      </c>
      <c r="B361" s="1"/>
      <c r="C361" s="1" t="s">
        <v>802</v>
      </c>
      <c r="D361" s="15">
        <f t="shared" si="79"/>
        <v>68.41473684210527</v>
      </c>
      <c r="E361" s="11">
        <v>50.52</v>
      </c>
      <c r="F361" s="11">
        <v>17.894736842105264</v>
      </c>
      <c r="G361" s="12">
        <v>63</v>
      </c>
      <c r="H361" s="12">
        <v>100</v>
      </c>
      <c r="I361" s="12">
        <f t="shared" si="69"/>
        <v>1</v>
      </c>
      <c r="J361" s="12" t="str">
        <f t="shared" si="78"/>
        <v>Không đạt</v>
      </c>
      <c r="K361" s="10"/>
      <c r="L361" s="96">
        <f t="shared" si="75"/>
        <v>68.41</v>
      </c>
      <c r="M361" s="114">
        <v>50.52</v>
      </c>
      <c r="N361" s="114">
        <v>17.89</v>
      </c>
      <c r="O361" s="12">
        <v>63</v>
      </c>
      <c r="P361" s="97">
        <v>97.9</v>
      </c>
      <c r="Q361" s="12">
        <f t="shared" si="76"/>
        <v>1</v>
      </c>
      <c r="R361" s="12" t="str">
        <f t="shared" si="77"/>
        <v>Không đạt</v>
      </c>
      <c r="S361" s="10"/>
      <c r="T361" s="95"/>
    </row>
    <row r="362" spans="1:21" s="84" customFormat="1" hidden="1" x14ac:dyDescent="0.25">
      <c r="A362" s="9" t="s">
        <v>182</v>
      </c>
      <c r="B362" s="1"/>
      <c r="C362" s="1" t="s">
        <v>803</v>
      </c>
      <c r="D362" s="15">
        <f t="shared" si="79"/>
        <v>19.879518072289155</v>
      </c>
      <c r="E362" s="11">
        <v>7.2289156626506017</v>
      </c>
      <c r="F362" s="11">
        <v>12.650602409638553</v>
      </c>
      <c r="G362" s="12">
        <v>56.999999999999993</v>
      </c>
      <c r="H362" s="12">
        <v>100</v>
      </c>
      <c r="I362" s="12">
        <f t="shared" si="69"/>
        <v>2</v>
      </c>
      <c r="J362" s="12" t="str">
        <f t="shared" si="78"/>
        <v>Đạt</v>
      </c>
      <c r="K362" s="10"/>
      <c r="L362" s="96">
        <f t="shared" si="75"/>
        <v>19.880000000000003</v>
      </c>
      <c r="M362" s="114">
        <v>7.23</v>
      </c>
      <c r="N362" s="114">
        <v>12.65</v>
      </c>
      <c r="O362" s="12">
        <v>56.999999999999993</v>
      </c>
      <c r="P362" s="97">
        <v>96.4</v>
      </c>
      <c r="Q362" s="12">
        <f t="shared" si="76"/>
        <v>2</v>
      </c>
      <c r="R362" s="12" t="str">
        <f t="shared" si="77"/>
        <v>Đạt</v>
      </c>
      <c r="S362" s="10"/>
      <c r="T362" s="95"/>
    </row>
    <row r="363" spans="1:21" s="84" customFormat="1" hidden="1" x14ac:dyDescent="0.25">
      <c r="A363" s="9" t="s">
        <v>183</v>
      </c>
      <c r="B363" s="1"/>
      <c r="C363" s="1" t="s">
        <v>804</v>
      </c>
      <c r="D363" s="15">
        <f t="shared" si="79"/>
        <v>65.306122448979593</v>
      </c>
      <c r="E363" s="11">
        <v>22.448979591836736</v>
      </c>
      <c r="F363" s="11">
        <v>42.857142857142854</v>
      </c>
      <c r="G363" s="12">
        <v>56.999999999999993</v>
      </c>
      <c r="H363" s="12">
        <v>100</v>
      </c>
      <c r="I363" s="12">
        <f>SUM((IF(D363&gt;=16.24,1,0))+(IF(G363&lt;60,1,0))+(IF(H363&lt;90,1,0)))</f>
        <v>2</v>
      </c>
      <c r="J363" s="12" t="str">
        <f t="shared" si="78"/>
        <v>Đạt</v>
      </c>
      <c r="K363" s="10"/>
      <c r="L363" s="96">
        <f t="shared" si="75"/>
        <v>65.31</v>
      </c>
      <c r="M363" s="114">
        <v>22.45</v>
      </c>
      <c r="N363" s="114">
        <v>42.86</v>
      </c>
      <c r="O363" s="12">
        <v>56.999999999999993</v>
      </c>
      <c r="P363" s="97">
        <v>100</v>
      </c>
      <c r="Q363" s="12">
        <f t="shared" si="76"/>
        <v>2</v>
      </c>
      <c r="R363" s="12" t="str">
        <f t="shared" si="77"/>
        <v>Đạt</v>
      </c>
      <c r="S363" s="10"/>
      <c r="T363" s="95"/>
    </row>
    <row r="364" spans="1:21" s="95" customFormat="1" hidden="1" x14ac:dyDescent="0.25">
      <c r="A364" s="5" t="s">
        <v>1091</v>
      </c>
      <c r="B364" s="6" t="s">
        <v>135</v>
      </c>
      <c r="C364" s="6"/>
      <c r="D364" s="8"/>
      <c r="E364" s="103"/>
      <c r="F364" s="103"/>
      <c r="G364" s="8"/>
      <c r="H364" s="8"/>
      <c r="I364" s="77"/>
      <c r="J364" s="77"/>
      <c r="K364" s="48">
        <f>COUNTIF(J365:J397,"Đạt")</f>
        <v>6</v>
      </c>
      <c r="L364" s="101">
        <f t="shared" si="75"/>
        <v>0</v>
      </c>
      <c r="M364" s="7"/>
      <c r="N364" s="7"/>
      <c r="O364" s="8"/>
      <c r="P364" s="102"/>
      <c r="Q364" s="77"/>
      <c r="R364" s="77"/>
      <c r="S364" s="48"/>
      <c r="T364" s="94"/>
      <c r="U364" s="84"/>
    </row>
    <row r="365" spans="1:21" s="84" customFormat="1" hidden="1" x14ac:dyDescent="0.25">
      <c r="A365" s="9" t="s">
        <v>148</v>
      </c>
      <c r="B365" s="1"/>
      <c r="C365" s="1" t="s">
        <v>1092</v>
      </c>
      <c r="D365" s="12">
        <f t="shared" ref="D365:D396" si="80">E365+F365</f>
        <v>69.91</v>
      </c>
      <c r="E365" s="83">
        <v>39.020000000000003</v>
      </c>
      <c r="F365" s="83">
        <v>30.89</v>
      </c>
      <c r="G365" s="12">
        <v>100</v>
      </c>
      <c r="H365" s="12">
        <v>97.73</v>
      </c>
      <c r="I365" s="12">
        <f t="shared" ref="I365:I396" si="81">SUM((IF(D365&gt;=16.24,1,0))+(IF(G365&lt;60,1,0))+(IF(H365&lt;90,1,0)))</f>
        <v>1</v>
      </c>
      <c r="J365" s="12" t="str">
        <f t="shared" ref="J365:J396" si="82">IF(I365&gt;=2,"Đạt","Không đạt")</f>
        <v>Không đạt</v>
      </c>
      <c r="K365" s="10"/>
      <c r="L365" s="96">
        <f t="shared" ref="L365:L462" si="83">M365+N365</f>
        <v>69.91</v>
      </c>
      <c r="M365" s="10">
        <v>39.020000000000003</v>
      </c>
      <c r="N365" s="10">
        <v>30.89</v>
      </c>
      <c r="O365" s="12">
        <v>100</v>
      </c>
      <c r="P365" s="97">
        <v>96.6</v>
      </c>
      <c r="Q365" s="12">
        <f t="shared" ref="Q365:Q462" si="84">SUM((IF(L365&gt;=16.24,1,0))+(IF(O365&lt;60,1,0))+(IF(P365&lt;90,1,0)))</f>
        <v>1</v>
      </c>
      <c r="R365" s="12" t="str">
        <f t="shared" ref="R365:R462" si="85">IF(Q365&gt;=2,"Đạt","Không đạt")</f>
        <v>Không đạt</v>
      </c>
      <c r="S365" s="10"/>
      <c r="T365" s="95"/>
    </row>
    <row r="366" spans="1:21" s="84" customFormat="1" hidden="1" x14ac:dyDescent="0.25">
      <c r="A366" s="9" t="s">
        <v>149</v>
      </c>
      <c r="B366" s="1"/>
      <c r="C366" s="1" t="s">
        <v>1093</v>
      </c>
      <c r="D366" s="12">
        <f t="shared" si="80"/>
        <v>73.92</v>
      </c>
      <c r="E366" s="83">
        <v>36.96</v>
      </c>
      <c r="F366" s="83">
        <v>36.96</v>
      </c>
      <c r="G366" s="12">
        <v>93</v>
      </c>
      <c r="H366" s="12">
        <v>97.96</v>
      </c>
      <c r="I366" s="12">
        <f t="shared" si="81"/>
        <v>1</v>
      </c>
      <c r="J366" s="12" t="str">
        <f t="shared" si="82"/>
        <v>Không đạt</v>
      </c>
      <c r="K366" s="10"/>
      <c r="L366" s="96">
        <f t="shared" si="83"/>
        <v>73.92</v>
      </c>
      <c r="M366" s="10">
        <v>36.96</v>
      </c>
      <c r="N366" s="10">
        <v>36.96</v>
      </c>
      <c r="O366" s="12">
        <v>93</v>
      </c>
      <c r="P366" s="97">
        <v>98</v>
      </c>
      <c r="Q366" s="12">
        <f t="shared" si="84"/>
        <v>1</v>
      </c>
      <c r="R366" s="12" t="str">
        <f t="shared" si="85"/>
        <v>Không đạt</v>
      </c>
      <c r="S366" s="10"/>
      <c r="T366" s="95"/>
    </row>
    <row r="367" spans="1:21" s="84" customFormat="1" hidden="1" x14ac:dyDescent="0.25">
      <c r="A367" s="9" t="s">
        <v>150</v>
      </c>
      <c r="B367" s="1"/>
      <c r="C367" s="1" t="s">
        <v>1094</v>
      </c>
      <c r="D367" s="12">
        <f t="shared" si="80"/>
        <v>70.73</v>
      </c>
      <c r="E367" s="83">
        <v>39.020000000000003</v>
      </c>
      <c r="F367" s="83">
        <v>31.71</v>
      </c>
      <c r="G367" s="12">
        <v>93</v>
      </c>
      <c r="H367" s="12">
        <v>97.37</v>
      </c>
      <c r="I367" s="12">
        <f t="shared" si="81"/>
        <v>1</v>
      </c>
      <c r="J367" s="12" t="str">
        <f t="shared" si="82"/>
        <v>Không đạt</v>
      </c>
      <c r="K367" s="10"/>
      <c r="L367" s="96">
        <f t="shared" si="83"/>
        <v>70.73</v>
      </c>
      <c r="M367" s="10">
        <v>39.020000000000003</v>
      </c>
      <c r="N367" s="10">
        <v>31.71</v>
      </c>
      <c r="O367" s="12">
        <v>93</v>
      </c>
      <c r="P367" s="97">
        <v>97.4</v>
      </c>
      <c r="Q367" s="12">
        <f t="shared" si="84"/>
        <v>1</v>
      </c>
      <c r="R367" s="12" t="str">
        <f t="shared" si="85"/>
        <v>Không đạt</v>
      </c>
      <c r="S367" s="10"/>
      <c r="T367" s="95"/>
    </row>
    <row r="368" spans="1:21" s="84" customFormat="1" hidden="1" x14ac:dyDescent="0.25">
      <c r="A368" s="9" t="s">
        <v>151</v>
      </c>
      <c r="B368" s="1"/>
      <c r="C368" s="1" t="s">
        <v>1095</v>
      </c>
      <c r="D368" s="12">
        <f t="shared" si="80"/>
        <v>70.91</v>
      </c>
      <c r="E368" s="83">
        <v>38.18</v>
      </c>
      <c r="F368" s="83">
        <v>32.729999999999997</v>
      </c>
      <c r="G368" s="12">
        <v>95</v>
      </c>
      <c r="H368" s="12">
        <v>96.49</v>
      </c>
      <c r="I368" s="12">
        <f t="shared" si="81"/>
        <v>1</v>
      </c>
      <c r="J368" s="12" t="str">
        <f t="shared" si="82"/>
        <v>Không đạt</v>
      </c>
      <c r="K368" s="10"/>
      <c r="L368" s="96">
        <f t="shared" si="83"/>
        <v>70.91</v>
      </c>
      <c r="M368" s="10">
        <v>38.18</v>
      </c>
      <c r="N368" s="10">
        <v>32.729999999999997</v>
      </c>
      <c r="O368" s="12">
        <v>95</v>
      </c>
      <c r="P368" s="97">
        <v>96.5</v>
      </c>
      <c r="Q368" s="12">
        <f t="shared" si="84"/>
        <v>1</v>
      </c>
      <c r="R368" s="12" t="str">
        <f t="shared" si="85"/>
        <v>Không đạt</v>
      </c>
      <c r="S368" s="10"/>
      <c r="T368" s="95"/>
    </row>
    <row r="369" spans="1:20" s="84" customFormat="1" ht="30" hidden="1" x14ac:dyDescent="0.25">
      <c r="A369" s="9" t="s">
        <v>152</v>
      </c>
      <c r="B369" s="1"/>
      <c r="C369" s="1" t="s">
        <v>1096</v>
      </c>
      <c r="D369" s="12">
        <f t="shared" si="80"/>
        <v>69.069999999999993</v>
      </c>
      <c r="E369" s="83">
        <v>44.33</v>
      </c>
      <c r="F369" s="83">
        <v>24.74</v>
      </c>
      <c r="G369" s="12">
        <v>28.000000000000004</v>
      </c>
      <c r="H369" s="12">
        <v>96.49</v>
      </c>
      <c r="I369" s="12">
        <f t="shared" si="81"/>
        <v>2</v>
      </c>
      <c r="J369" s="12" t="str">
        <f t="shared" si="82"/>
        <v>Đạt</v>
      </c>
      <c r="K369" s="10"/>
      <c r="L369" s="96">
        <f t="shared" si="83"/>
        <v>69.069999999999993</v>
      </c>
      <c r="M369" s="10">
        <v>44.33</v>
      </c>
      <c r="N369" s="10">
        <v>24.74</v>
      </c>
      <c r="O369" s="12">
        <v>28.000000000000004</v>
      </c>
      <c r="P369" s="97">
        <v>96.8</v>
      </c>
      <c r="Q369" s="12">
        <f t="shared" si="84"/>
        <v>2</v>
      </c>
      <c r="R369" s="12" t="str">
        <f t="shared" si="85"/>
        <v>Đạt</v>
      </c>
      <c r="S369" s="10"/>
      <c r="T369" s="95"/>
    </row>
    <row r="370" spans="1:20" s="84" customFormat="1" ht="30" hidden="1" x14ac:dyDescent="0.25">
      <c r="A370" s="9" t="s">
        <v>153</v>
      </c>
      <c r="B370" s="1"/>
      <c r="C370" s="1" t="s">
        <v>1097</v>
      </c>
      <c r="D370" s="12">
        <f t="shared" si="80"/>
        <v>73.069999999999993</v>
      </c>
      <c r="E370" s="83">
        <v>40.380000000000003</v>
      </c>
      <c r="F370" s="83">
        <v>32.69</v>
      </c>
      <c r="G370" s="12">
        <v>28.000000000000004</v>
      </c>
      <c r="H370" s="12">
        <v>97.96</v>
      </c>
      <c r="I370" s="12">
        <f t="shared" si="81"/>
        <v>2</v>
      </c>
      <c r="J370" s="12" t="str">
        <f t="shared" si="82"/>
        <v>Đạt</v>
      </c>
      <c r="K370" s="10"/>
      <c r="L370" s="96">
        <f t="shared" si="83"/>
        <v>73.069999999999993</v>
      </c>
      <c r="M370" s="10">
        <v>40.380000000000003</v>
      </c>
      <c r="N370" s="10">
        <v>32.69</v>
      </c>
      <c r="O370" s="12">
        <v>28.000000000000004</v>
      </c>
      <c r="P370" s="97">
        <v>98</v>
      </c>
      <c r="Q370" s="12">
        <f t="shared" si="84"/>
        <v>2</v>
      </c>
      <c r="R370" s="12" t="str">
        <f t="shared" si="85"/>
        <v>Đạt</v>
      </c>
      <c r="S370" s="10"/>
      <c r="T370" s="95"/>
    </row>
    <row r="371" spans="1:20" s="84" customFormat="1" hidden="1" x14ac:dyDescent="0.25">
      <c r="A371" s="9" t="s">
        <v>154</v>
      </c>
      <c r="B371" s="1"/>
      <c r="C371" s="1" t="s">
        <v>1098</v>
      </c>
      <c r="D371" s="12">
        <f t="shared" si="80"/>
        <v>68.75</v>
      </c>
      <c r="E371" s="83">
        <v>43.75</v>
      </c>
      <c r="F371" s="83">
        <v>25</v>
      </c>
      <c r="G371" s="12">
        <v>28.000000000000004</v>
      </c>
      <c r="H371" s="12" t="s">
        <v>1151</v>
      </c>
      <c r="I371" s="12">
        <f t="shared" si="81"/>
        <v>2</v>
      </c>
      <c r="J371" s="12" t="str">
        <f t="shared" si="82"/>
        <v>Đạt</v>
      </c>
      <c r="K371" s="10"/>
      <c r="L371" s="96">
        <f t="shared" si="83"/>
        <v>68.75</v>
      </c>
      <c r="M371" s="10">
        <v>43.75</v>
      </c>
      <c r="N371" s="10">
        <v>25</v>
      </c>
      <c r="O371" s="12">
        <v>28.000000000000004</v>
      </c>
      <c r="P371" s="97">
        <v>96.9</v>
      </c>
      <c r="Q371" s="12">
        <f t="shared" si="84"/>
        <v>2</v>
      </c>
      <c r="R371" s="12" t="str">
        <f t="shared" si="85"/>
        <v>Đạt</v>
      </c>
      <c r="S371" s="10"/>
      <c r="T371" s="95"/>
    </row>
    <row r="372" spans="1:20" s="84" customFormat="1" hidden="1" x14ac:dyDescent="0.25">
      <c r="A372" s="9" t="s">
        <v>155</v>
      </c>
      <c r="B372" s="1"/>
      <c r="C372" s="1" t="s">
        <v>1099</v>
      </c>
      <c r="D372" s="12">
        <f t="shared" si="80"/>
        <v>70.930000000000007</v>
      </c>
      <c r="E372" s="83">
        <v>40.700000000000003</v>
      </c>
      <c r="F372" s="83">
        <v>30.23</v>
      </c>
      <c r="G372" s="12">
        <v>100</v>
      </c>
      <c r="H372" s="12">
        <v>96.51</v>
      </c>
      <c r="I372" s="12">
        <f t="shared" si="81"/>
        <v>1</v>
      </c>
      <c r="J372" s="12" t="str">
        <f t="shared" si="82"/>
        <v>Không đạt</v>
      </c>
      <c r="K372" s="10"/>
      <c r="L372" s="96">
        <f t="shared" si="83"/>
        <v>70.930000000000007</v>
      </c>
      <c r="M372" s="10">
        <v>40.700000000000003</v>
      </c>
      <c r="N372" s="10">
        <v>30.23</v>
      </c>
      <c r="O372" s="12">
        <v>100</v>
      </c>
      <c r="P372" s="97">
        <v>96.5</v>
      </c>
      <c r="Q372" s="12">
        <f t="shared" si="84"/>
        <v>1</v>
      </c>
      <c r="R372" s="12" t="str">
        <f t="shared" si="85"/>
        <v>Không đạt</v>
      </c>
      <c r="S372" s="10"/>
      <c r="T372" s="95"/>
    </row>
    <row r="373" spans="1:20" s="84" customFormat="1" hidden="1" x14ac:dyDescent="0.25">
      <c r="A373" s="9" t="s">
        <v>156</v>
      </c>
      <c r="B373" s="1"/>
      <c r="C373" s="1" t="s">
        <v>1100</v>
      </c>
      <c r="D373" s="12">
        <f t="shared" si="80"/>
        <v>93.02</v>
      </c>
      <c r="E373" s="83">
        <v>54.65</v>
      </c>
      <c r="F373" s="83">
        <v>38.369999999999997</v>
      </c>
      <c r="G373" s="12">
        <v>22</v>
      </c>
      <c r="H373" s="12">
        <v>96.55</v>
      </c>
      <c r="I373" s="12">
        <f t="shared" si="81"/>
        <v>2</v>
      </c>
      <c r="J373" s="12" t="str">
        <f t="shared" si="82"/>
        <v>Đạt</v>
      </c>
      <c r="K373" s="10"/>
      <c r="L373" s="96">
        <f t="shared" si="83"/>
        <v>93.02</v>
      </c>
      <c r="M373" s="10">
        <v>54.65</v>
      </c>
      <c r="N373" s="10">
        <v>38.369999999999997</v>
      </c>
      <c r="O373" s="12">
        <v>22</v>
      </c>
      <c r="P373" s="97">
        <v>96.6</v>
      </c>
      <c r="Q373" s="12">
        <f t="shared" si="84"/>
        <v>2</v>
      </c>
      <c r="R373" s="12" t="str">
        <f t="shared" si="85"/>
        <v>Đạt</v>
      </c>
      <c r="S373" s="10"/>
      <c r="T373" s="95"/>
    </row>
    <row r="374" spans="1:20" s="84" customFormat="1" hidden="1" x14ac:dyDescent="0.25">
      <c r="A374" s="9" t="s">
        <v>157</v>
      </c>
      <c r="B374" s="1"/>
      <c r="C374" s="1" t="s">
        <v>1101</v>
      </c>
      <c r="D374" s="12">
        <f t="shared" si="80"/>
        <v>81.39</v>
      </c>
      <c r="E374" s="83">
        <v>33.72</v>
      </c>
      <c r="F374" s="83">
        <v>47.67</v>
      </c>
      <c r="G374" s="12">
        <v>100</v>
      </c>
      <c r="H374" s="12">
        <v>95.51</v>
      </c>
      <c r="I374" s="12">
        <f t="shared" si="81"/>
        <v>1</v>
      </c>
      <c r="J374" s="12" t="str">
        <f t="shared" si="82"/>
        <v>Không đạt</v>
      </c>
      <c r="K374" s="10"/>
      <c r="L374" s="96">
        <f t="shared" si="83"/>
        <v>81.39</v>
      </c>
      <c r="M374" s="10">
        <v>33.72</v>
      </c>
      <c r="N374" s="10">
        <v>47.67</v>
      </c>
      <c r="O374" s="12">
        <v>100</v>
      </c>
      <c r="P374" s="97">
        <v>95.5</v>
      </c>
      <c r="Q374" s="12">
        <f t="shared" si="84"/>
        <v>1</v>
      </c>
      <c r="R374" s="12" t="str">
        <f t="shared" si="85"/>
        <v>Không đạt</v>
      </c>
      <c r="S374" s="10"/>
      <c r="T374" s="95"/>
    </row>
    <row r="375" spans="1:20" s="84" customFormat="1" ht="30" hidden="1" x14ac:dyDescent="0.25">
      <c r="A375" s="9" t="s">
        <v>158</v>
      </c>
      <c r="B375" s="1"/>
      <c r="C375" s="1" t="s">
        <v>1102</v>
      </c>
      <c r="D375" s="12">
        <f t="shared" si="80"/>
        <v>82.15</v>
      </c>
      <c r="E375" s="83">
        <v>42.86</v>
      </c>
      <c r="F375" s="83">
        <v>39.29</v>
      </c>
      <c r="G375" s="12">
        <v>94</v>
      </c>
      <c r="H375" s="12">
        <v>95.29</v>
      </c>
      <c r="I375" s="12">
        <f t="shared" si="81"/>
        <v>1</v>
      </c>
      <c r="J375" s="12" t="str">
        <f t="shared" si="82"/>
        <v>Không đạt</v>
      </c>
      <c r="K375" s="10"/>
      <c r="L375" s="96">
        <f t="shared" si="83"/>
        <v>82.15</v>
      </c>
      <c r="M375" s="10">
        <v>42.86</v>
      </c>
      <c r="N375" s="10">
        <v>39.29</v>
      </c>
      <c r="O375" s="12">
        <v>94</v>
      </c>
      <c r="P375" s="97">
        <v>95.3</v>
      </c>
      <c r="Q375" s="12">
        <f t="shared" si="84"/>
        <v>1</v>
      </c>
      <c r="R375" s="12" t="str">
        <f t="shared" si="85"/>
        <v>Không đạt</v>
      </c>
      <c r="S375" s="10"/>
      <c r="T375" s="95"/>
    </row>
    <row r="376" spans="1:20" s="84" customFormat="1" hidden="1" x14ac:dyDescent="0.25">
      <c r="A376" s="9" t="s">
        <v>159</v>
      </c>
      <c r="B376" s="1"/>
      <c r="C376" s="1" t="s">
        <v>1103</v>
      </c>
      <c r="D376" s="12">
        <f t="shared" si="80"/>
        <v>87.73</v>
      </c>
      <c r="E376" s="83">
        <v>35.1</v>
      </c>
      <c r="F376" s="83">
        <v>52.63</v>
      </c>
      <c r="G376" s="12">
        <v>95</v>
      </c>
      <c r="H376" s="12">
        <v>96.61</v>
      </c>
      <c r="I376" s="12">
        <f t="shared" si="81"/>
        <v>1</v>
      </c>
      <c r="J376" s="12" t="str">
        <f t="shared" si="82"/>
        <v>Không đạt</v>
      </c>
      <c r="K376" s="10"/>
      <c r="L376" s="96">
        <f t="shared" si="83"/>
        <v>87.73</v>
      </c>
      <c r="M376" s="10">
        <v>35.1</v>
      </c>
      <c r="N376" s="10">
        <v>52.63</v>
      </c>
      <c r="O376" s="12">
        <v>95</v>
      </c>
      <c r="P376" s="97">
        <v>96.6</v>
      </c>
      <c r="Q376" s="12">
        <f t="shared" si="84"/>
        <v>1</v>
      </c>
      <c r="R376" s="12" t="str">
        <f t="shared" si="85"/>
        <v>Không đạt</v>
      </c>
      <c r="S376" s="10"/>
      <c r="T376" s="95"/>
    </row>
    <row r="377" spans="1:20" s="84" customFormat="1" hidden="1" x14ac:dyDescent="0.25">
      <c r="A377" s="9" t="s">
        <v>160</v>
      </c>
      <c r="B377" s="1"/>
      <c r="C377" s="1" t="s">
        <v>1104</v>
      </c>
      <c r="D377" s="12">
        <f t="shared" si="80"/>
        <v>61.5</v>
      </c>
      <c r="E377" s="83">
        <v>15.25</v>
      </c>
      <c r="F377" s="83">
        <v>46.25</v>
      </c>
      <c r="G377" s="12">
        <v>100</v>
      </c>
      <c r="H377" s="12">
        <v>95.51</v>
      </c>
      <c r="I377" s="12">
        <f t="shared" si="81"/>
        <v>1</v>
      </c>
      <c r="J377" s="12" t="str">
        <f t="shared" si="82"/>
        <v>Không đạt</v>
      </c>
      <c r="K377" s="10"/>
      <c r="L377" s="96">
        <f t="shared" si="83"/>
        <v>61.5</v>
      </c>
      <c r="M377" s="10">
        <v>15.25</v>
      </c>
      <c r="N377" s="10">
        <v>46.25</v>
      </c>
      <c r="O377" s="12">
        <v>100</v>
      </c>
      <c r="P377" s="97">
        <v>95.5</v>
      </c>
      <c r="Q377" s="12">
        <f t="shared" si="84"/>
        <v>1</v>
      </c>
      <c r="R377" s="12" t="str">
        <f t="shared" si="85"/>
        <v>Không đạt</v>
      </c>
      <c r="S377" s="10"/>
      <c r="T377" s="95"/>
    </row>
    <row r="378" spans="1:20" s="84" customFormat="1" hidden="1" x14ac:dyDescent="0.25">
      <c r="A378" s="9" t="s">
        <v>161</v>
      </c>
      <c r="B378" s="1"/>
      <c r="C378" s="1" t="s">
        <v>1105</v>
      </c>
      <c r="D378" s="12">
        <f t="shared" si="80"/>
        <v>83.64</v>
      </c>
      <c r="E378" s="83">
        <v>41.82</v>
      </c>
      <c r="F378" s="83">
        <v>41.82</v>
      </c>
      <c r="G378" s="12">
        <v>93</v>
      </c>
      <c r="H378" s="12">
        <v>96.43</v>
      </c>
      <c r="I378" s="12">
        <f t="shared" si="81"/>
        <v>1</v>
      </c>
      <c r="J378" s="12" t="str">
        <f t="shared" si="82"/>
        <v>Không đạt</v>
      </c>
      <c r="K378" s="10"/>
      <c r="L378" s="96">
        <f t="shared" si="83"/>
        <v>83.64</v>
      </c>
      <c r="M378" s="10">
        <v>41.82</v>
      </c>
      <c r="N378" s="10">
        <v>41.82</v>
      </c>
      <c r="O378" s="12">
        <v>93</v>
      </c>
      <c r="P378" s="97">
        <v>96.4</v>
      </c>
      <c r="Q378" s="12">
        <f t="shared" si="84"/>
        <v>1</v>
      </c>
      <c r="R378" s="12" t="str">
        <f t="shared" si="85"/>
        <v>Không đạt</v>
      </c>
      <c r="S378" s="10"/>
      <c r="T378" s="95"/>
    </row>
    <row r="379" spans="1:20" s="84" customFormat="1" hidden="1" x14ac:dyDescent="0.25">
      <c r="A379" s="9" t="s">
        <v>162</v>
      </c>
      <c r="B379" s="1"/>
      <c r="C379" s="1" t="s">
        <v>1106</v>
      </c>
      <c r="D379" s="12">
        <f t="shared" si="80"/>
        <v>89.69</v>
      </c>
      <c r="E379" s="83">
        <v>43.3</v>
      </c>
      <c r="F379" s="83">
        <v>46.39</v>
      </c>
      <c r="G379" s="12">
        <v>93</v>
      </c>
      <c r="H379" s="12">
        <v>97.94</v>
      </c>
      <c r="I379" s="12">
        <f t="shared" si="81"/>
        <v>1</v>
      </c>
      <c r="J379" s="12" t="str">
        <f t="shared" si="82"/>
        <v>Không đạt</v>
      </c>
      <c r="K379" s="10"/>
      <c r="L379" s="96">
        <f t="shared" si="83"/>
        <v>89.69</v>
      </c>
      <c r="M379" s="10">
        <v>43.3</v>
      </c>
      <c r="N379" s="10">
        <v>46.39</v>
      </c>
      <c r="O379" s="12">
        <v>93</v>
      </c>
      <c r="P379" s="97">
        <v>97.9</v>
      </c>
      <c r="Q379" s="12">
        <f t="shared" si="84"/>
        <v>1</v>
      </c>
      <c r="R379" s="12" t="str">
        <f t="shared" si="85"/>
        <v>Không đạt</v>
      </c>
      <c r="S379" s="10"/>
      <c r="T379" s="95"/>
    </row>
    <row r="380" spans="1:20" s="84" customFormat="1" hidden="1" x14ac:dyDescent="0.25">
      <c r="A380" s="9" t="s">
        <v>163</v>
      </c>
      <c r="B380" s="1"/>
      <c r="C380" s="1" t="s">
        <v>429</v>
      </c>
      <c r="D380" s="12">
        <f t="shared" si="80"/>
        <v>96.63</v>
      </c>
      <c r="E380" s="83">
        <v>51.69</v>
      </c>
      <c r="F380" s="83">
        <v>44.94</v>
      </c>
      <c r="G380" s="12">
        <v>93</v>
      </c>
      <c r="H380" s="12">
        <v>96.77</v>
      </c>
      <c r="I380" s="12">
        <f t="shared" si="81"/>
        <v>1</v>
      </c>
      <c r="J380" s="12" t="str">
        <f t="shared" si="82"/>
        <v>Không đạt</v>
      </c>
      <c r="K380" s="10"/>
      <c r="L380" s="96">
        <f t="shared" si="83"/>
        <v>96.63</v>
      </c>
      <c r="M380" s="10">
        <v>51.69</v>
      </c>
      <c r="N380" s="10">
        <v>44.94</v>
      </c>
      <c r="O380" s="12">
        <v>93</v>
      </c>
      <c r="P380" s="97">
        <v>96.8</v>
      </c>
      <c r="Q380" s="12">
        <f t="shared" si="84"/>
        <v>1</v>
      </c>
      <c r="R380" s="12" t="str">
        <f t="shared" si="85"/>
        <v>Không đạt</v>
      </c>
      <c r="S380" s="10"/>
      <c r="T380" s="95"/>
    </row>
    <row r="381" spans="1:20" s="84" customFormat="1" hidden="1" x14ac:dyDescent="0.25">
      <c r="A381" s="9" t="s">
        <v>164</v>
      </c>
      <c r="B381" s="1"/>
      <c r="C381" s="1" t="s">
        <v>430</v>
      </c>
      <c r="D381" s="12">
        <f t="shared" si="80"/>
        <v>81.819999999999993</v>
      </c>
      <c r="E381" s="83">
        <v>40.909999999999997</v>
      </c>
      <c r="F381" s="83">
        <v>40.909999999999997</v>
      </c>
      <c r="G381" s="12">
        <v>26</v>
      </c>
      <c r="H381" s="12">
        <v>100</v>
      </c>
      <c r="I381" s="12">
        <f t="shared" si="81"/>
        <v>2</v>
      </c>
      <c r="J381" s="12" t="str">
        <f t="shared" si="82"/>
        <v>Đạt</v>
      </c>
      <c r="K381" s="10"/>
      <c r="L381" s="96">
        <f t="shared" si="83"/>
        <v>81.819999999999993</v>
      </c>
      <c r="M381" s="10">
        <v>40.909999999999997</v>
      </c>
      <c r="N381" s="10">
        <v>40.909999999999997</v>
      </c>
      <c r="O381" s="12">
        <v>26</v>
      </c>
      <c r="P381" s="97">
        <v>100</v>
      </c>
      <c r="Q381" s="12">
        <f t="shared" si="84"/>
        <v>2</v>
      </c>
      <c r="R381" s="12" t="str">
        <f t="shared" si="85"/>
        <v>Đạt</v>
      </c>
      <c r="S381" s="10"/>
      <c r="T381" s="95"/>
    </row>
    <row r="382" spans="1:20" s="84" customFormat="1" hidden="1" x14ac:dyDescent="0.25">
      <c r="A382" s="9" t="s">
        <v>165</v>
      </c>
      <c r="B382" s="1"/>
      <c r="C382" s="1" t="s">
        <v>820</v>
      </c>
      <c r="D382" s="12">
        <f t="shared" si="80"/>
        <v>68.460000000000008</v>
      </c>
      <c r="E382" s="83">
        <v>28.46</v>
      </c>
      <c r="F382" s="83">
        <v>40</v>
      </c>
      <c r="G382" s="12">
        <v>100</v>
      </c>
      <c r="H382" s="12">
        <v>96.97</v>
      </c>
      <c r="I382" s="12">
        <f t="shared" si="81"/>
        <v>1</v>
      </c>
      <c r="J382" s="12" t="str">
        <f t="shared" si="82"/>
        <v>Không đạt</v>
      </c>
      <c r="K382" s="10"/>
      <c r="L382" s="96">
        <f t="shared" si="83"/>
        <v>68.460000000000008</v>
      </c>
      <c r="M382" s="10">
        <v>28.46</v>
      </c>
      <c r="N382" s="10">
        <v>40</v>
      </c>
      <c r="O382" s="12">
        <v>100</v>
      </c>
      <c r="P382" s="97">
        <v>97</v>
      </c>
      <c r="Q382" s="12">
        <f t="shared" si="84"/>
        <v>1</v>
      </c>
      <c r="R382" s="12" t="str">
        <f t="shared" si="85"/>
        <v>Không đạt</v>
      </c>
      <c r="S382" s="10"/>
      <c r="T382" s="95"/>
    </row>
    <row r="383" spans="1:20" s="84" customFormat="1" ht="30" hidden="1" x14ac:dyDescent="0.25">
      <c r="A383" s="9" t="s">
        <v>166</v>
      </c>
      <c r="B383" s="1"/>
      <c r="C383" s="1" t="s">
        <v>347</v>
      </c>
      <c r="D383" s="12">
        <f t="shared" si="80"/>
        <v>68.2</v>
      </c>
      <c r="E383" s="83">
        <v>19.2</v>
      </c>
      <c r="F383" s="83">
        <v>49</v>
      </c>
      <c r="G383" s="12">
        <v>97</v>
      </c>
      <c r="H383" s="12">
        <v>98.05</v>
      </c>
      <c r="I383" s="12">
        <f t="shared" si="81"/>
        <v>1</v>
      </c>
      <c r="J383" s="12" t="str">
        <f t="shared" si="82"/>
        <v>Không đạt</v>
      </c>
      <c r="K383" s="10"/>
      <c r="L383" s="96">
        <f t="shared" si="83"/>
        <v>68.2</v>
      </c>
      <c r="M383" s="10">
        <v>19.2</v>
      </c>
      <c r="N383" s="10">
        <v>49</v>
      </c>
      <c r="O383" s="12">
        <v>97</v>
      </c>
      <c r="P383" s="97">
        <v>98.1</v>
      </c>
      <c r="Q383" s="12">
        <f t="shared" si="84"/>
        <v>1</v>
      </c>
      <c r="R383" s="12" t="str">
        <f t="shared" si="85"/>
        <v>Không đạt</v>
      </c>
      <c r="S383" s="10"/>
      <c r="T383" s="95"/>
    </row>
    <row r="384" spans="1:20" s="84" customFormat="1" ht="30" hidden="1" x14ac:dyDescent="0.25">
      <c r="A384" s="9" t="s">
        <v>167</v>
      </c>
      <c r="B384" s="1"/>
      <c r="C384" s="1" t="s">
        <v>1107</v>
      </c>
      <c r="D384" s="12">
        <f t="shared" si="80"/>
        <v>79.58</v>
      </c>
      <c r="E384" s="83">
        <v>40.799999999999997</v>
      </c>
      <c r="F384" s="83">
        <v>38.78</v>
      </c>
      <c r="G384" s="12">
        <v>100</v>
      </c>
      <c r="H384" s="12">
        <v>97.14</v>
      </c>
      <c r="I384" s="12">
        <f t="shared" si="81"/>
        <v>1</v>
      </c>
      <c r="J384" s="12" t="str">
        <f t="shared" si="82"/>
        <v>Không đạt</v>
      </c>
      <c r="K384" s="10"/>
      <c r="L384" s="96">
        <f t="shared" si="83"/>
        <v>79.58</v>
      </c>
      <c r="M384" s="10">
        <v>40.799999999999997</v>
      </c>
      <c r="N384" s="10">
        <v>38.78</v>
      </c>
      <c r="O384" s="12">
        <v>100</v>
      </c>
      <c r="P384" s="97">
        <v>97.1</v>
      </c>
      <c r="Q384" s="12">
        <f t="shared" si="84"/>
        <v>1</v>
      </c>
      <c r="R384" s="12" t="str">
        <f t="shared" si="85"/>
        <v>Không đạt</v>
      </c>
      <c r="S384" s="10"/>
      <c r="T384" s="95"/>
    </row>
    <row r="385" spans="1:21" s="84" customFormat="1" ht="30" hidden="1" x14ac:dyDescent="0.25">
      <c r="A385" s="9" t="s">
        <v>168</v>
      </c>
      <c r="B385" s="1"/>
      <c r="C385" s="1" t="s">
        <v>1108</v>
      </c>
      <c r="D385" s="12">
        <f t="shared" si="80"/>
        <v>86.9</v>
      </c>
      <c r="E385" s="83">
        <v>39.299999999999997</v>
      </c>
      <c r="F385" s="83">
        <v>47.6</v>
      </c>
      <c r="G385" s="12">
        <v>100</v>
      </c>
      <c r="H385" s="12">
        <v>97.7</v>
      </c>
      <c r="I385" s="12">
        <f t="shared" si="81"/>
        <v>1</v>
      </c>
      <c r="J385" s="12" t="str">
        <f t="shared" si="82"/>
        <v>Không đạt</v>
      </c>
      <c r="K385" s="10"/>
      <c r="L385" s="96">
        <f t="shared" si="83"/>
        <v>86.9</v>
      </c>
      <c r="M385" s="10">
        <v>39.299999999999997</v>
      </c>
      <c r="N385" s="10">
        <v>47.6</v>
      </c>
      <c r="O385" s="12">
        <v>100</v>
      </c>
      <c r="P385" s="97">
        <v>97.7</v>
      </c>
      <c r="Q385" s="12">
        <f t="shared" si="84"/>
        <v>1</v>
      </c>
      <c r="R385" s="12" t="str">
        <f t="shared" si="85"/>
        <v>Không đạt</v>
      </c>
      <c r="S385" s="10"/>
      <c r="T385" s="95"/>
    </row>
    <row r="386" spans="1:21" s="84" customFormat="1" ht="30" hidden="1" x14ac:dyDescent="0.25">
      <c r="A386" s="9" t="s">
        <v>169</v>
      </c>
      <c r="B386" s="1"/>
      <c r="C386" s="1" t="s">
        <v>1109</v>
      </c>
      <c r="D386" s="12">
        <f t="shared" si="80"/>
        <v>96.710000000000008</v>
      </c>
      <c r="E386" s="83">
        <v>67.2</v>
      </c>
      <c r="F386" s="83">
        <v>29.51</v>
      </c>
      <c r="G386" s="12">
        <v>100</v>
      </c>
      <c r="H386" s="12">
        <v>98.46</v>
      </c>
      <c r="I386" s="12">
        <f t="shared" si="81"/>
        <v>1</v>
      </c>
      <c r="J386" s="12" t="str">
        <f t="shared" si="82"/>
        <v>Không đạt</v>
      </c>
      <c r="K386" s="10"/>
      <c r="L386" s="96">
        <f t="shared" si="83"/>
        <v>96.710000000000008</v>
      </c>
      <c r="M386" s="10">
        <v>67.2</v>
      </c>
      <c r="N386" s="10">
        <v>29.51</v>
      </c>
      <c r="O386" s="12">
        <v>100</v>
      </c>
      <c r="P386" s="97">
        <v>98.5</v>
      </c>
      <c r="Q386" s="12">
        <f t="shared" si="84"/>
        <v>1</v>
      </c>
      <c r="R386" s="12" t="str">
        <f t="shared" si="85"/>
        <v>Không đạt</v>
      </c>
      <c r="S386" s="10"/>
      <c r="T386" s="95"/>
    </row>
    <row r="387" spans="1:21" s="84" customFormat="1" ht="30" hidden="1" x14ac:dyDescent="0.25">
      <c r="A387" s="9" t="s">
        <v>170</v>
      </c>
      <c r="B387" s="1"/>
      <c r="C387" s="1" t="s">
        <v>1110</v>
      </c>
      <c r="D387" s="12">
        <f t="shared" si="80"/>
        <v>89.5</v>
      </c>
      <c r="E387" s="83">
        <v>59.3</v>
      </c>
      <c r="F387" s="83">
        <v>30.2</v>
      </c>
      <c r="G387" s="12">
        <v>93</v>
      </c>
      <c r="H387" s="12">
        <v>96.77</v>
      </c>
      <c r="I387" s="12">
        <f t="shared" si="81"/>
        <v>1</v>
      </c>
      <c r="J387" s="12" t="str">
        <f t="shared" si="82"/>
        <v>Không đạt</v>
      </c>
      <c r="K387" s="10"/>
      <c r="L387" s="96">
        <f t="shared" si="83"/>
        <v>89.5</v>
      </c>
      <c r="M387" s="10">
        <v>59.3</v>
      </c>
      <c r="N387" s="10">
        <v>30.2</v>
      </c>
      <c r="O387" s="12">
        <v>93</v>
      </c>
      <c r="P387" s="97">
        <v>96.8</v>
      </c>
      <c r="Q387" s="12">
        <f t="shared" si="84"/>
        <v>1</v>
      </c>
      <c r="R387" s="12" t="str">
        <f t="shared" si="85"/>
        <v>Không đạt</v>
      </c>
      <c r="S387" s="10"/>
      <c r="T387" s="95"/>
    </row>
    <row r="388" spans="1:21" s="84" customFormat="1" ht="30" hidden="1" x14ac:dyDescent="0.25">
      <c r="A388" s="9" t="s">
        <v>171</v>
      </c>
      <c r="B388" s="1"/>
      <c r="C388" s="1" t="s">
        <v>1111</v>
      </c>
      <c r="D388" s="12">
        <f t="shared" si="80"/>
        <v>92.19</v>
      </c>
      <c r="E388" s="83">
        <v>63.3</v>
      </c>
      <c r="F388" s="83">
        <v>28.89</v>
      </c>
      <c r="G388" s="12">
        <v>93</v>
      </c>
      <c r="H388" s="12">
        <v>97.67</v>
      </c>
      <c r="I388" s="12">
        <f t="shared" si="81"/>
        <v>1</v>
      </c>
      <c r="J388" s="12" t="str">
        <f t="shared" si="82"/>
        <v>Không đạt</v>
      </c>
      <c r="K388" s="10"/>
      <c r="L388" s="96">
        <f t="shared" si="83"/>
        <v>92.19</v>
      </c>
      <c r="M388" s="10">
        <v>63.3</v>
      </c>
      <c r="N388" s="10">
        <v>28.89</v>
      </c>
      <c r="O388" s="12">
        <v>93</v>
      </c>
      <c r="P388" s="97">
        <v>97.7</v>
      </c>
      <c r="Q388" s="12">
        <f t="shared" si="84"/>
        <v>1</v>
      </c>
      <c r="R388" s="12" t="str">
        <f t="shared" si="85"/>
        <v>Không đạt</v>
      </c>
      <c r="S388" s="10"/>
      <c r="T388" s="95"/>
    </row>
    <row r="389" spans="1:21" s="84" customFormat="1" hidden="1" x14ac:dyDescent="0.25">
      <c r="A389" s="9" t="s">
        <v>172</v>
      </c>
      <c r="B389" s="1"/>
      <c r="C389" s="1" t="s">
        <v>1112</v>
      </c>
      <c r="D389" s="12">
        <f t="shared" si="80"/>
        <v>79.31</v>
      </c>
      <c r="E389" s="83">
        <v>43.1</v>
      </c>
      <c r="F389" s="83">
        <v>36.21</v>
      </c>
      <c r="G389" s="12">
        <v>95</v>
      </c>
      <c r="H389" s="12">
        <v>96.67</v>
      </c>
      <c r="I389" s="12">
        <f t="shared" si="81"/>
        <v>1</v>
      </c>
      <c r="J389" s="12" t="str">
        <f t="shared" si="82"/>
        <v>Không đạt</v>
      </c>
      <c r="K389" s="10"/>
      <c r="L389" s="96">
        <f t="shared" si="83"/>
        <v>79.31</v>
      </c>
      <c r="M389" s="10">
        <v>43.1</v>
      </c>
      <c r="N389" s="10">
        <v>36.21</v>
      </c>
      <c r="O389" s="12">
        <v>95</v>
      </c>
      <c r="P389" s="97">
        <v>96.7</v>
      </c>
      <c r="Q389" s="12">
        <f t="shared" si="84"/>
        <v>1</v>
      </c>
      <c r="R389" s="12" t="str">
        <f t="shared" si="85"/>
        <v>Không đạt</v>
      </c>
      <c r="S389" s="10"/>
      <c r="T389" s="95"/>
    </row>
    <row r="390" spans="1:21" s="84" customFormat="1" hidden="1" x14ac:dyDescent="0.25">
      <c r="A390" s="9" t="s">
        <v>173</v>
      </c>
      <c r="B390" s="1"/>
      <c r="C390" s="1" t="s">
        <v>1113</v>
      </c>
      <c r="D390" s="12">
        <f t="shared" si="80"/>
        <v>68.09</v>
      </c>
      <c r="E390" s="83">
        <v>32.979999999999997</v>
      </c>
      <c r="F390" s="83">
        <v>35.11</v>
      </c>
      <c r="G390" s="12">
        <v>95</v>
      </c>
      <c r="H390" s="12">
        <v>96.91</v>
      </c>
      <c r="I390" s="12">
        <f t="shared" si="81"/>
        <v>1</v>
      </c>
      <c r="J390" s="12" t="str">
        <f t="shared" si="82"/>
        <v>Không đạt</v>
      </c>
      <c r="K390" s="10"/>
      <c r="L390" s="96">
        <f t="shared" si="83"/>
        <v>68.09</v>
      </c>
      <c r="M390" s="10">
        <v>32.979999999999997</v>
      </c>
      <c r="N390" s="10">
        <v>35.11</v>
      </c>
      <c r="O390" s="12">
        <v>95</v>
      </c>
      <c r="P390" s="97">
        <v>96.9</v>
      </c>
      <c r="Q390" s="12">
        <f t="shared" si="84"/>
        <v>1</v>
      </c>
      <c r="R390" s="12" t="str">
        <f t="shared" si="85"/>
        <v>Không đạt</v>
      </c>
      <c r="S390" s="10"/>
      <c r="T390" s="95"/>
    </row>
    <row r="391" spans="1:21" s="84" customFormat="1" hidden="1" x14ac:dyDescent="0.25">
      <c r="A391" s="9" t="s">
        <v>174</v>
      </c>
      <c r="B391" s="1"/>
      <c r="C391" s="1" t="s">
        <v>1114</v>
      </c>
      <c r="D391" s="12">
        <f t="shared" si="80"/>
        <v>83.1</v>
      </c>
      <c r="E391" s="83">
        <v>43.66</v>
      </c>
      <c r="F391" s="83">
        <v>39.44</v>
      </c>
      <c r="G391" s="12">
        <v>90</v>
      </c>
      <c r="H391" s="12">
        <v>96</v>
      </c>
      <c r="I391" s="12">
        <f t="shared" si="81"/>
        <v>1</v>
      </c>
      <c r="J391" s="12" t="str">
        <f t="shared" si="82"/>
        <v>Không đạt</v>
      </c>
      <c r="K391" s="10"/>
      <c r="L391" s="96">
        <f t="shared" si="83"/>
        <v>83.1</v>
      </c>
      <c r="M391" s="10">
        <v>43.66</v>
      </c>
      <c r="N391" s="10">
        <v>39.44</v>
      </c>
      <c r="O391" s="12">
        <v>90</v>
      </c>
      <c r="P391" s="97">
        <v>96</v>
      </c>
      <c r="Q391" s="12">
        <f t="shared" si="84"/>
        <v>1</v>
      </c>
      <c r="R391" s="12" t="str">
        <f t="shared" si="85"/>
        <v>Không đạt</v>
      </c>
      <c r="S391" s="10"/>
      <c r="T391" s="95"/>
    </row>
    <row r="392" spans="1:21" s="84" customFormat="1" ht="30" hidden="1" x14ac:dyDescent="0.25">
      <c r="A392" s="9" t="s">
        <v>175</v>
      </c>
      <c r="B392" s="1"/>
      <c r="C392" s="1" t="s">
        <v>1115</v>
      </c>
      <c r="D392" s="12">
        <f t="shared" si="80"/>
        <v>70</v>
      </c>
      <c r="E392" s="83">
        <v>31</v>
      </c>
      <c r="F392" s="83">
        <v>39</v>
      </c>
      <c r="G392" s="12">
        <v>100</v>
      </c>
      <c r="H392" s="12">
        <v>96.23</v>
      </c>
      <c r="I392" s="12">
        <f t="shared" si="81"/>
        <v>1</v>
      </c>
      <c r="J392" s="12" t="str">
        <f t="shared" si="82"/>
        <v>Không đạt</v>
      </c>
      <c r="K392" s="10"/>
      <c r="L392" s="96">
        <f t="shared" si="83"/>
        <v>70</v>
      </c>
      <c r="M392" s="10">
        <v>31</v>
      </c>
      <c r="N392" s="10">
        <v>39</v>
      </c>
      <c r="O392" s="12">
        <v>100</v>
      </c>
      <c r="P392" s="97">
        <v>96.2</v>
      </c>
      <c r="Q392" s="12">
        <f t="shared" si="84"/>
        <v>1</v>
      </c>
      <c r="R392" s="12" t="str">
        <f t="shared" si="85"/>
        <v>Không đạt</v>
      </c>
      <c r="S392" s="10"/>
      <c r="T392" s="95"/>
    </row>
    <row r="393" spans="1:21" s="84" customFormat="1" ht="30" hidden="1" x14ac:dyDescent="0.25">
      <c r="A393" s="9" t="s">
        <v>176</v>
      </c>
      <c r="B393" s="1"/>
      <c r="C393" s="1" t="s">
        <v>1116</v>
      </c>
      <c r="D393" s="12">
        <f t="shared" si="80"/>
        <v>59.44</v>
      </c>
      <c r="E393" s="83">
        <v>25.87</v>
      </c>
      <c r="F393" s="83">
        <v>33.57</v>
      </c>
      <c r="G393" s="12">
        <v>100</v>
      </c>
      <c r="H393" s="12">
        <v>97.24</v>
      </c>
      <c r="I393" s="12">
        <f t="shared" si="81"/>
        <v>1</v>
      </c>
      <c r="J393" s="12" t="str">
        <f t="shared" si="82"/>
        <v>Không đạt</v>
      </c>
      <c r="K393" s="10"/>
      <c r="L393" s="96">
        <f t="shared" si="83"/>
        <v>59.44</v>
      </c>
      <c r="M393" s="10">
        <v>25.87</v>
      </c>
      <c r="N393" s="10">
        <v>33.57</v>
      </c>
      <c r="O393" s="12">
        <v>100</v>
      </c>
      <c r="P393" s="97">
        <v>97.2</v>
      </c>
      <c r="Q393" s="12">
        <f t="shared" si="84"/>
        <v>1</v>
      </c>
      <c r="R393" s="12" t="str">
        <f t="shared" si="85"/>
        <v>Không đạt</v>
      </c>
      <c r="S393" s="10"/>
      <c r="T393" s="95"/>
    </row>
    <row r="394" spans="1:21" s="84" customFormat="1" ht="30" hidden="1" x14ac:dyDescent="0.25">
      <c r="A394" s="9" t="s">
        <v>177</v>
      </c>
      <c r="B394" s="1"/>
      <c r="C394" s="1" t="s">
        <v>1117</v>
      </c>
      <c r="D394" s="12">
        <f t="shared" si="80"/>
        <v>83.33</v>
      </c>
      <c r="E394" s="83">
        <v>30.95</v>
      </c>
      <c r="F394" s="83">
        <v>52.38</v>
      </c>
      <c r="G394" s="12">
        <v>100</v>
      </c>
      <c r="H394" s="12">
        <v>97.62</v>
      </c>
      <c r="I394" s="12">
        <f t="shared" si="81"/>
        <v>1</v>
      </c>
      <c r="J394" s="12" t="str">
        <f t="shared" si="82"/>
        <v>Không đạt</v>
      </c>
      <c r="K394" s="10"/>
      <c r="L394" s="96">
        <f t="shared" si="83"/>
        <v>83.33</v>
      </c>
      <c r="M394" s="10">
        <v>30.95</v>
      </c>
      <c r="N394" s="10">
        <v>52.38</v>
      </c>
      <c r="O394" s="12">
        <v>100</v>
      </c>
      <c r="P394" s="97">
        <v>97.6</v>
      </c>
      <c r="Q394" s="12">
        <f t="shared" si="84"/>
        <v>1</v>
      </c>
      <c r="R394" s="12" t="str">
        <f t="shared" si="85"/>
        <v>Không đạt</v>
      </c>
      <c r="S394" s="10"/>
      <c r="T394" s="95"/>
    </row>
    <row r="395" spans="1:21" s="84" customFormat="1" hidden="1" x14ac:dyDescent="0.25">
      <c r="A395" s="9" t="s">
        <v>178</v>
      </c>
      <c r="B395" s="1"/>
      <c r="C395" s="1" t="s">
        <v>1118</v>
      </c>
      <c r="D395" s="12">
        <f t="shared" si="80"/>
        <v>79.77</v>
      </c>
      <c r="E395" s="83">
        <v>43.23</v>
      </c>
      <c r="F395" s="83">
        <v>36.54</v>
      </c>
      <c r="G395" s="12">
        <v>96</v>
      </c>
      <c r="H395" s="12">
        <v>90.74</v>
      </c>
      <c r="I395" s="12">
        <f t="shared" si="81"/>
        <v>1</v>
      </c>
      <c r="J395" s="12" t="str">
        <f t="shared" si="82"/>
        <v>Không đạt</v>
      </c>
      <c r="K395" s="10"/>
      <c r="L395" s="96">
        <f t="shared" si="83"/>
        <v>79.77</v>
      </c>
      <c r="M395" s="10">
        <v>43.23</v>
      </c>
      <c r="N395" s="10">
        <v>36.54</v>
      </c>
      <c r="O395" s="12">
        <v>96</v>
      </c>
      <c r="P395" s="97">
        <v>90.7</v>
      </c>
      <c r="Q395" s="12">
        <f t="shared" si="84"/>
        <v>1</v>
      </c>
      <c r="R395" s="12" t="str">
        <f t="shared" si="85"/>
        <v>Không đạt</v>
      </c>
      <c r="S395" s="10"/>
      <c r="T395" s="95"/>
    </row>
    <row r="396" spans="1:21" s="84" customFormat="1" hidden="1" x14ac:dyDescent="0.25">
      <c r="A396" s="9" t="s">
        <v>179</v>
      </c>
      <c r="B396" s="1"/>
      <c r="C396" s="1" t="s">
        <v>1119</v>
      </c>
      <c r="D396" s="12">
        <f t="shared" si="80"/>
        <v>70</v>
      </c>
      <c r="E396" s="83">
        <v>37.5</v>
      </c>
      <c r="F396" s="83">
        <v>32.5</v>
      </c>
      <c r="G396" s="12">
        <v>100</v>
      </c>
      <c r="H396" s="12">
        <v>88.37</v>
      </c>
      <c r="I396" s="12">
        <f t="shared" si="81"/>
        <v>2</v>
      </c>
      <c r="J396" s="12" t="str">
        <f t="shared" si="82"/>
        <v>Đạt</v>
      </c>
      <c r="K396" s="10"/>
      <c r="L396" s="96">
        <f t="shared" si="83"/>
        <v>70</v>
      </c>
      <c r="M396" s="10">
        <v>37.5</v>
      </c>
      <c r="N396" s="10">
        <v>32.5</v>
      </c>
      <c r="O396" s="12">
        <v>100</v>
      </c>
      <c r="P396" s="97">
        <v>88.4</v>
      </c>
      <c r="Q396" s="12">
        <f t="shared" si="84"/>
        <v>2</v>
      </c>
      <c r="R396" s="12" t="str">
        <f t="shared" si="85"/>
        <v>Đạt</v>
      </c>
      <c r="S396" s="10"/>
      <c r="T396" s="95"/>
    </row>
    <row r="397" spans="1:21" s="84" customFormat="1" hidden="1" x14ac:dyDescent="0.25">
      <c r="A397" s="9" t="s">
        <v>180</v>
      </c>
      <c r="B397" s="1"/>
      <c r="C397" s="1" t="s">
        <v>1120</v>
      </c>
      <c r="D397" s="12">
        <f>E397+F397</f>
        <v>80.430000000000007</v>
      </c>
      <c r="E397" s="83">
        <v>52.17</v>
      </c>
      <c r="F397" s="83">
        <v>28.26</v>
      </c>
      <c r="G397" s="12">
        <v>100</v>
      </c>
      <c r="H397" s="12">
        <v>90.22</v>
      </c>
      <c r="I397" s="12">
        <f>SUM((IF(D397&gt;=16.24,1,0))+(IF(G397&lt;60,1,0))+(IF(H397&lt;90,1,0)))</f>
        <v>1</v>
      </c>
      <c r="J397" s="12" t="str">
        <f>IF(I397&gt;=2,"Đạt","Không đạt")</f>
        <v>Không đạt</v>
      </c>
      <c r="K397" s="10"/>
      <c r="L397" s="96">
        <f t="shared" si="83"/>
        <v>80.430000000000007</v>
      </c>
      <c r="M397" s="10">
        <v>52.17</v>
      </c>
      <c r="N397" s="10">
        <v>28.26</v>
      </c>
      <c r="O397" s="12">
        <v>100</v>
      </c>
      <c r="P397" s="97">
        <v>90.2</v>
      </c>
      <c r="Q397" s="12">
        <f t="shared" si="84"/>
        <v>1</v>
      </c>
      <c r="R397" s="12" t="str">
        <f t="shared" si="85"/>
        <v>Không đạt</v>
      </c>
      <c r="S397" s="10"/>
      <c r="T397" s="95"/>
    </row>
    <row r="398" spans="1:21" s="109" customFormat="1" x14ac:dyDescent="0.25">
      <c r="A398" s="63" t="s">
        <v>1091</v>
      </c>
      <c r="B398" s="64" t="s">
        <v>135</v>
      </c>
      <c r="C398" s="64"/>
      <c r="D398" s="66"/>
      <c r="E398" s="106"/>
      <c r="F398" s="106"/>
      <c r="G398" s="66"/>
      <c r="H398" s="66"/>
      <c r="I398" s="69"/>
      <c r="J398" s="69"/>
      <c r="K398" s="68">
        <f>COUNTIF(J399:J431,"Đạt")</f>
        <v>6</v>
      </c>
      <c r="L398" s="107">
        <f t="shared" si="83"/>
        <v>0</v>
      </c>
      <c r="M398" s="65"/>
      <c r="N398" s="65"/>
      <c r="O398" s="66"/>
      <c r="P398" s="108"/>
      <c r="Q398" s="69"/>
      <c r="R398" s="69"/>
      <c r="S398" s="68" t="s">
        <v>1212</v>
      </c>
      <c r="U398" s="139" t="b">
        <f t="shared" ref="U398:U431" si="86">J398=R398</f>
        <v>1</v>
      </c>
    </row>
    <row r="399" spans="1:21" s="84" customFormat="1" ht="45" x14ac:dyDescent="0.25">
      <c r="A399" s="9" t="s">
        <v>148</v>
      </c>
      <c r="B399" s="1"/>
      <c r="C399" s="1" t="s">
        <v>1092</v>
      </c>
      <c r="D399" s="12">
        <f t="shared" ref="D399:D430" si="87">E399+F399</f>
        <v>69.91</v>
      </c>
      <c r="E399" s="83">
        <v>39.020000000000003</v>
      </c>
      <c r="F399" s="83">
        <v>30.89</v>
      </c>
      <c r="G399" s="12">
        <v>100</v>
      </c>
      <c r="H399" s="12">
        <v>97.73</v>
      </c>
      <c r="I399" s="12">
        <f t="shared" ref="I399:I430" si="88">SUM((IF(D399&gt;=16.24,1,0))+(IF(G399&lt;60,1,0))+(IF(H399&lt;90,1,0)))</f>
        <v>1</v>
      </c>
      <c r="J399" s="12" t="str">
        <f t="shared" ref="J399:J430" si="89">IF(I399&gt;=2,"Đạt","Không đạt")</f>
        <v>Không đạt</v>
      </c>
      <c r="K399" s="10"/>
      <c r="L399" s="96">
        <f t="shared" si="83"/>
        <v>69.91</v>
      </c>
      <c r="M399" s="10">
        <v>39.020000000000003</v>
      </c>
      <c r="N399" s="10">
        <v>30.89</v>
      </c>
      <c r="O399" s="143">
        <v>30</v>
      </c>
      <c r="P399" s="97">
        <v>96.6</v>
      </c>
      <c r="Q399" s="12">
        <f t="shared" ref="Q399:Q431" si="90">SUM((IF(L399&gt;=16.24,1,0))+(IF(O399&lt;60,1,0))+(IF(P399&lt;90,1,0)))</f>
        <v>2</v>
      </c>
      <c r="R399" s="12" t="str">
        <f t="shared" ref="R399:R431" si="91">IF(Q399&gt;=2,"Đạt","Không đạt")</f>
        <v>Đạt</v>
      </c>
      <c r="S399" s="80" t="s">
        <v>1209</v>
      </c>
      <c r="T399" s="95"/>
      <c r="U399" s="84" t="b">
        <f t="shared" si="86"/>
        <v>0</v>
      </c>
    </row>
    <row r="400" spans="1:21" s="84" customFormat="1" ht="45" x14ac:dyDescent="0.25">
      <c r="A400" s="9" t="s">
        <v>149</v>
      </c>
      <c r="B400" s="1"/>
      <c r="C400" s="1" t="s">
        <v>1093</v>
      </c>
      <c r="D400" s="12">
        <f t="shared" si="87"/>
        <v>73.92</v>
      </c>
      <c r="E400" s="83">
        <v>36.96</v>
      </c>
      <c r="F400" s="83">
        <v>36.96</v>
      </c>
      <c r="G400" s="12">
        <v>93</v>
      </c>
      <c r="H400" s="12">
        <v>97.96</v>
      </c>
      <c r="I400" s="12">
        <f t="shared" si="88"/>
        <v>1</v>
      </c>
      <c r="J400" s="12" t="str">
        <f t="shared" si="89"/>
        <v>Không đạt</v>
      </c>
      <c r="K400" s="10"/>
      <c r="L400" s="96">
        <f t="shared" si="83"/>
        <v>73.92</v>
      </c>
      <c r="M400" s="10">
        <v>36.96</v>
      </c>
      <c r="N400" s="10">
        <v>36.96</v>
      </c>
      <c r="O400" s="143">
        <v>30</v>
      </c>
      <c r="P400" s="97">
        <v>98</v>
      </c>
      <c r="Q400" s="12">
        <f t="shared" si="90"/>
        <v>2</v>
      </c>
      <c r="R400" s="12" t="str">
        <f t="shared" si="91"/>
        <v>Đạt</v>
      </c>
      <c r="S400" s="80" t="s">
        <v>1209</v>
      </c>
      <c r="T400" s="95"/>
      <c r="U400" s="84" t="b">
        <f t="shared" si="86"/>
        <v>0</v>
      </c>
    </row>
    <row r="401" spans="1:21" s="84" customFormat="1" ht="45" x14ac:dyDescent="0.25">
      <c r="A401" s="9" t="s">
        <v>150</v>
      </c>
      <c r="B401" s="1"/>
      <c r="C401" s="1" t="s">
        <v>1094</v>
      </c>
      <c r="D401" s="12">
        <f t="shared" si="87"/>
        <v>70.73</v>
      </c>
      <c r="E401" s="83">
        <v>39.020000000000003</v>
      </c>
      <c r="F401" s="83">
        <v>31.71</v>
      </c>
      <c r="G401" s="12">
        <v>93</v>
      </c>
      <c r="H401" s="12">
        <v>97.37</v>
      </c>
      <c r="I401" s="12">
        <f t="shared" si="88"/>
        <v>1</v>
      </c>
      <c r="J401" s="12" t="str">
        <f t="shared" si="89"/>
        <v>Không đạt</v>
      </c>
      <c r="K401" s="10"/>
      <c r="L401" s="96">
        <f t="shared" si="83"/>
        <v>70.73</v>
      </c>
      <c r="M401" s="10">
        <v>39.020000000000003</v>
      </c>
      <c r="N401" s="10">
        <v>31.71</v>
      </c>
      <c r="O401" s="143">
        <v>59</v>
      </c>
      <c r="P401" s="97">
        <v>97.4</v>
      </c>
      <c r="Q401" s="12">
        <f t="shared" si="90"/>
        <v>2</v>
      </c>
      <c r="R401" s="12" t="str">
        <f t="shared" si="91"/>
        <v>Đạt</v>
      </c>
      <c r="S401" s="80" t="s">
        <v>1209</v>
      </c>
      <c r="T401" s="95"/>
      <c r="U401" s="84" t="b">
        <f t="shared" si="86"/>
        <v>0</v>
      </c>
    </row>
    <row r="402" spans="1:21" s="84" customFormat="1" ht="45" x14ac:dyDescent="0.25">
      <c r="A402" s="9" t="s">
        <v>151</v>
      </c>
      <c r="B402" s="1"/>
      <c r="C402" s="1" t="s">
        <v>1095</v>
      </c>
      <c r="D402" s="12">
        <f t="shared" si="87"/>
        <v>70.91</v>
      </c>
      <c r="E402" s="83">
        <v>38.18</v>
      </c>
      <c r="F402" s="83">
        <v>32.729999999999997</v>
      </c>
      <c r="G402" s="12">
        <v>95</v>
      </c>
      <c r="H402" s="12">
        <v>96.49</v>
      </c>
      <c r="I402" s="12">
        <f t="shared" si="88"/>
        <v>1</v>
      </c>
      <c r="J402" s="12" t="str">
        <f t="shared" si="89"/>
        <v>Không đạt</v>
      </c>
      <c r="K402" s="10"/>
      <c r="L402" s="96">
        <f t="shared" si="83"/>
        <v>70.91</v>
      </c>
      <c r="M402" s="10">
        <v>38.18</v>
      </c>
      <c r="N402" s="10">
        <v>32.729999999999997</v>
      </c>
      <c r="O402" s="143">
        <v>47</v>
      </c>
      <c r="P402" s="97">
        <v>96.5</v>
      </c>
      <c r="Q402" s="12">
        <f t="shared" si="90"/>
        <v>2</v>
      </c>
      <c r="R402" s="12" t="str">
        <f t="shared" si="91"/>
        <v>Đạt</v>
      </c>
      <c r="S402" s="80" t="s">
        <v>1209</v>
      </c>
      <c r="T402" s="95"/>
      <c r="U402" s="84" t="b">
        <f t="shared" si="86"/>
        <v>0</v>
      </c>
    </row>
    <row r="403" spans="1:21" s="84" customFormat="1" ht="45" x14ac:dyDescent="0.25">
      <c r="A403" s="9" t="s">
        <v>152</v>
      </c>
      <c r="B403" s="1"/>
      <c r="C403" s="1" t="s">
        <v>1096</v>
      </c>
      <c r="D403" s="12">
        <f t="shared" si="87"/>
        <v>69.069999999999993</v>
      </c>
      <c r="E403" s="83">
        <v>44.33</v>
      </c>
      <c r="F403" s="83">
        <v>24.74</v>
      </c>
      <c r="G403" s="12">
        <v>28.000000000000004</v>
      </c>
      <c r="H403" s="12">
        <v>96.49</v>
      </c>
      <c r="I403" s="12">
        <f t="shared" si="88"/>
        <v>2</v>
      </c>
      <c r="J403" s="12" t="str">
        <f t="shared" si="89"/>
        <v>Đạt</v>
      </c>
      <c r="K403" s="10"/>
      <c r="L403" s="96">
        <f t="shared" si="83"/>
        <v>69.069999999999993</v>
      </c>
      <c r="M403" s="10">
        <v>44.33</v>
      </c>
      <c r="N403" s="10">
        <v>24.74</v>
      </c>
      <c r="O403" s="143">
        <v>20</v>
      </c>
      <c r="P403" s="97">
        <v>96.8</v>
      </c>
      <c r="Q403" s="12">
        <f t="shared" si="90"/>
        <v>2</v>
      </c>
      <c r="R403" s="12" t="str">
        <f t="shared" si="91"/>
        <v>Đạt</v>
      </c>
      <c r="S403" s="80" t="s">
        <v>1209</v>
      </c>
      <c r="T403" s="95"/>
      <c r="U403" s="84" t="b">
        <f t="shared" si="86"/>
        <v>1</v>
      </c>
    </row>
    <row r="404" spans="1:21" s="84" customFormat="1" ht="45" x14ac:dyDescent="0.25">
      <c r="A404" s="9" t="s">
        <v>153</v>
      </c>
      <c r="B404" s="1"/>
      <c r="C404" s="1" t="s">
        <v>1097</v>
      </c>
      <c r="D404" s="12">
        <f t="shared" si="87"/>
        <v>73.069999999999993</v>
      </c>
      <c r="E404" s="83">
        <v>40.380000000000003</v>
      </c>
      <c r="F404" s="83">
        <v>32.69</v>
      </c>
      <c r="G404" s="12">
        <v>28.000000000000004</v>
      </c>
      <c r="H404" s="12">
        <v>97.96</v>
      </c>
      <c r="I404" s="12">
        <f t="shared" si="88"/>
        <v>2</v>
      </c>
      <c r="J404" s="12" t="str">
        <f t="shared" si="89"/>
        <v>Đạt</v>
      </c>
      <c r="K404" s="10"/>
      <c r="L404" s="96">
        <f t="shared" si="83"/>
        <v>73.069999999999993</v>
      </c>
      <c r="M404" s="10">
        <v>40.380000000000003</v>
      </c>
      <c r="N404" s="10">
        <v>32.69</v>
      </c>
      <c r="O404" s="143">
        <v>22</v>
      </c>
      <c r="P404" s="97">
        <v>98</v>
      </c>
      <c r="Q404" s="12">
        <f t="shared" si="90"/>
        <v>2</v>
      </c>
      <c r="R404" s="12" t="str">
        <f t="shared" si="91"/>
        <v>Đạt</v>
      </c>
      <c r="S404" s="80" t="s">
        <v>1209</v>
      </c>
      <c r="T404" s="95"/>
      <c r="U404" s="84" t="b">
        <f t="shared" si="86"/>
        <v>1</v>
      </c>
    </row>
    <row r="405" spans="1:21" s="84" customFormat="1" ht="45" x14ac:dyDescent="0.25">
      <c r="A405" s="9" t="s">
        <v>154</v>
      </c>
      <c r="B405" s="1"/>
      <c r="C405" s="1" t="s">
        <v>1098</v>
      </c>
      <c r="D405" s="12">
        <f t="shared" si="87"/>
        <v>68.75</v>
      </c>
      <c r="E405" s="83">
        <v>43.75</v>
      </c>
      <c r="F405" s="83">
        <v>25</v>
      </c>
      <c r="G405" s="12">
        <v>28.000000000000004</v>
      </c>
      <c r="H405" s="12" t="s">
        <v>1151</v>
      </c>
      <c r="I405" s="12">
        <f t="shared" si="88"/>
        <v>2</v>
      </c>
      <c r="J405" s="12" t="str">
        <f t="shared" si="89"/>
        <v>Đạt</v>
      </c>
      <c r="K405" s="10"/>
      <c r="L405" s="96">
        <f t="shared" si="83"/>
        <v>68.75</v>
      </c>
      <c r="M405" s="10">
        <v>43.75</v>
      </c>
      <c r="N405" s="10">
        <v>25</v>
      </c>
      <c r="O405" s="143">
        <v>38</v>
      </c>
      <c r="P405" s="97">
        <v>96.9</v>
      </c>
      <c r="Q405" s="12">
        <f t="shared" si="90"/>
        <v>2</v>
      </c>
      <c r="R405" s="12" t="str">
        <f t="shared" si="91"/>
        <v>Đạt</v>
      </c>
      <c r="S405" s="80" t="s">
        <v>1209</v>
      </c>
      <c r="T405" s="95"/>
      <c r="U405" s="84" t="b">
        <f t="shared" si="86"/>
        <v>1</v>
      </c>
    </row>
    <row r="406" spans="1:21" s="84" customFormat="1" ht="45" x14ac:dyDescent="0.25">
      <c r="A406" s="9" t="s">
        <v>155</v>
      </c>
      <c r="B406" s="1"/>
      <c r="C406" s="1" t="s">
        <v>1099</v>
      </c>
      <c r="D406" s="12">
        <f t="shared" si="87"/>
        <v>70.930000000000007</v>
      </c>
      <c r="E406" s="83">
        <v>40.700000000000003</v>
      </c>
      <c r="F406" s="83">
        <v>30.23</v>
      </c>
      <c r="G406" s="12">
        <v>100</v>
      </c>
      <c r="H406" s="12">
        <v>96.51</v>
      </c>
      <c r="I406" s="12">
        <f t="shared" si="88"/>
        <v>1</v>
      </c>
      <c r="J406" s="12" t="str">
        <f t="shared" si="89"/>
        <v>Không đạt</v>
      </c>
      <c r="K406" s="10"/>
      <c r="L406" s="96">
        <f t="shared" si="83"/>
        <v>70.930000000000007</v>
      </c>
      <c r="M406" s="10">
        <v>40.700000000000003</v>
      </c>
      <c r="N406" s="10">
        <v>30.23</v>
      </c>
      <c r="O406" s="143">
        <v>27</v>
      </c>
      <c r="P406" s="97">
        <v>96.5</v>
      </c>
      <c r="Q406" s="12">
        <f t="shared" si="90"/>
        <v>2</v>
      </c>
      <c r="R406" s="12" t="str">
        <f t="shared" si="91"/>
        <v>Đạt</v>
      </c>
      <c r="S406" s="80" t="s">
        <v>1209</v>
      </c>
      <c r="T406" s="95"/>
      <c r="U406" s="84" t="b">
        <f t="shared" si="86"/>
        <v>0</v>
      </c>
    </row>
    <row r="407" spans="1:21" s="84" customFormat="1" ht="45" x14ac:dyDescent="0.25">
      <c r="A407" s="9" t="s">
        <v>156</v>
      </c>
      <c r="B407" s="1"/>
      <c r="C407" s="1" t="s">
        <v>1100</v>
      </c>
      <c r="D407" s="12">
        <f t="shared" si="87"/>
        <v>93.02</v>
      </c>
      <c r="E407" s="83">
        <v>54.65</v>
      </c>
      <c r="F407" s="83">
        <v>38.369999999999997</v>
      </c>
      <c r="G407" s="12">
        <v>22</v>
      </c>
      <c r="H407" s="12">
        <v>96.55</v>
      </c>
      <c r="I407" s="12">
        <f t="shared" si="88"/>
        <v>2</v>
      </c>
      <c r="J407" s="12" t="str">
        <f t="shared" si="89"/>
        <v>Đạt</v>
      </c>
      <c r="K407" s="10"/>
      <c r="L407" s="96">
        <f t="shared" si="83"/>
        <v>93.02</v>
      </c>
      <c r="M407" s="10">
        <v>54.65</v>
      </c>
      <c r="N407" s="10">
        <v>38.369999999999997</v>
      </c>
      <c r="O407" s="143">
        <v>28.999999999999996</v>
      </c>
      <c r="P407" s="97">
        <v>96.6</v>
      </c>
      <c r="Q407" s="12">
        <f t="shared" si="90"/>
        <v>2</v>
      </c>
      <c r="R407" s="12" t="str">
        <f t="shared" si="91"/>
        <v>Đạt</v>
      </c>
      <c r="S407" s="80" t="s">
        <v>1209</v>
      </c>
      <c r="T407" s="95"/>
      <c r="U407" s="84" t="b">
        <f t="shared" si="86"/>
        <v>1</v>
      </c>
    </row>
    <row r="408" spans="1:21" s="84" customFormat="1" ht="45" x14ac:dyDescent="0.25">
      <c r="A408" s="9" t="s">
        <v>157</v>
      </c>
      <c r="B408" s="1"/>
      <c r="C408" s="1" t="s">
        <v>1101</v>
      </c>
      <c r="D408" s="12">
        <f t="shared" si="87"/>
        <v>81.39</v>
      </c>
      <c r="E408" s="83">
        <v>33.72</v>
      </c>
      <c r="F408" s="83">
        <v>47.67</v>
      </c>
      <c r="G408" s="12">
        <v>100</v>
      </c>
      <c r="H408" s="12">
        <v>95.51</v>
      </c>
      <c r="I408" s="12">
        <f t="shared" si="88"/>
        <v>1</v>
      </c>
      <c r="J408" s="12" t="str">
        <f t="shared" si="89"/>
        <v>Không đạt</v>
      </c>
      <c r="K408" s="10"/>
      <c r="L408" s="96">
        <f t="shared" si="83"/>
        <v>81.39</v>
      </c>
      <c r="M408" s="10">
        <v>33.72</v>
      </c>
      <c r="N408" s="10">
        <v>47.67</v>
      </c>
      <c r="O408" s="143">
        <v>46</v>
      </c>
      <c r="P408" s="97">
        <v>95.5</v>
      </c>
      <c r="Q408" s="12">
        <f t="shared" si="90"/>
        <v>2</v>
      </c>
      <c r="R408" s="12" t="str">
        <f t="shared" si="91"/>
        <v>Đạt</v>
      </c>
      <c r="S408" s="80" t="s">
        <v>1209</v>
      </c>
      <c r="T408" s="95"/>
      <c r="U408" s="84" t="b">
        <f t="shared" si="86"/>
        <v>0</v>
      </c>
    </row>
    <row r="409" spans="1:21" s="84" customFormat="1" ht="45" x14ac:dyDescent="0.25">
      <c r="A409" s="9" t="s">
        <v>158</v>
      </c>
      <c r="B409" s="1"/>
      <c r="C409" s="1" t="s">
        <v>1102</v>
      </c>
      <c r="D409" s="12">
        <f t="shared" si="87"/>
        <v>82.15</v>
      </c>
      <c r="E409" s="83">
        <v>42.86</v>
      </c>
      <c r="F409" s="83">
        <v>39.29</v>
      </c>
      <c r="G409" s="12">
        <v>94</v>
      </c>
      <c r="H409" s="12">
        <v>95.29</v>
      </c>
      <c r="I409" s="12">
        <f t="shared" si="88"/>
        <v>1</v>
      </c>
      <c r="J409" s="12" t="str">
        <f t="shared" si="89"/>
        <v>Không đạt</v>
      </c>
      <c r="K409" s="10"/>
      <c r="L409" s="96">
        <f t="shared" si="83"/>
        <v>82.15</v>
      </c>
      <c r="M409" s="10">
        <v>42.86</v>
      </c>
      <c r="N409" s="10">
        <v>39.29</v>
      </c>
      <c r="O409" s="143">
        <v>55.000000000000007</v>
      </c>
      <c r="P409" s="97">
        <v>95.3</v>
      </c>
      <c r="Q409" s="12">
        <f t="shared" si="90"/>
        <v>2</v>
      </c>
      <c r="R409" s="12" t="str">
        <f t="shared" si="91"/>
        <v>Đạt</v>
      </c>
      <c r="S409" s="80" t="s">
        <v>1209</v>
      </c>
      <c r="T409" s="95"/>
      <c r="U409" s="84" t="b">
        <f t="shared" si="86"/>
        <v>0</v>
      </c>
    </row>
    <row r="410" spans="1:21" s="84" customFormat="1" ht="45" x14ac:dyDescent="0.25">
      <c r="A410" s="9" t="s">
        <v>159</v>
      </c>
      <c r="B410" s="1"/>
      <c r="C410" s="1" t="s">
        <v>1103</v>
      </c>
      <c r="D410" s="12">
        <f t="shared" si="87"/>
        <v>87.73</v>
      </c>
      <c r="E410" s="83">
        <v>35.1</v>
      </c>
      <c r="F410" s="83">
        <v>52.63</v>
      </c>
      <c r="G410" s="12">
        <v>95</v>
      </c>
      <c r="H410" s="12">
        <v>96.61</v>
      </c>
      <c r="I410" s="12">
        <f t="shared" si="88"/>
        <v>1</v>
      </c>
      <c r="J410" s="12" t="str">
        <f t="shared" si="89"/>
        <v>Không đạt</v>
      </c>
      <c r="K410" s="10"/>
      <c r="L410" s="96">
        <f t="shared" si="83"/>
        <v>87.73</v>
      </c>
      <c r="M410" s="10">
        <v>35.1</v>
      </c>
      <c r="N410" s="10">
        <v>52.63</v>
      </c>
      <c r="O410" s="143">
        <v>52</v>
      </c>
      <c r="P410" s="97">
        <v>96.6</v>
      </c>
      <c r="Q410" s="12">
        <f t="shared" si="90"/>
        <v>2</v>
      </c>
      <c r="R410" s="12" t="str">
        <f t="shared" si="91"/>
        <v>Đạt</v>
      </c>
      <c r="S410" s="80" t="s">
        <v>1209</v>
      </c>
      <c r="T410" s="95"/>
      <c r="U410" s="84" t="b">
        <f t="shared" si="86"/>
        <v>0</v>
      </c>
    </row>
    <row r="411" spans="1:21" s="84" customFormat="1" ht="45" x14ac:dyDescent="0.25">
      <c r="A411" s="9" t="s">
        <v>160</v>
      </c>
      <c r="B411" s="1"/>
      <c r="C411" s="1" t="s">
        <v>1104</v>
      </c>
      <c r="D411" s="12">
        <f t="shared" si="87"/>
        <v>61.5</v>
      </c>
      <c r="E411" s="83">
        <v>15.25</v>
      </c>
      <c r="F411" s="83">
        <v>46.25</v>
      </c>
      <c r="G411" s="12">
        <v>100</v>
      </c>
      <c r="H411" s="12">
        <v>95.51</v>
      </c>
      <c r="I411" s="12">
        <f t="shared" si="88"/>
        <v>1</v>
      </c>
      <c r="J411" s="12" t="str">
        <f t="shared" si="89"/>
        <v>Không đạt</v>
      </c>
      <c r="K411" s="10"/>
      <c r="L411" s="96">
        <f t="shared" si="83"/>
        <v>61.5</v>
      </c>
      <c r="M411" s="10">
        <v>15.25</v>
      </c>
      <c r="N411" s="10">
        <v>46.25</v>
      </c>
      <c r="O411" s="143">
        <v>59</v>
      </c>
      <c r="P411" s="97">
        <v>95.5</v>
      </c>
      <c r="Q411" s="12">
        <f t="shared" si="90"/>
        <v>2</v>
      </c>
      <c r="R411" s="12" t="str">
        <f t="shared" si="91"/>
        <v>Đạt</v>
      </c>
      <c r="S411" s="80" t="s">
        <v>1209</v>
      </c>
      <c r="T411" s="95"/>
      <c r="U411" s="84" t="b">
        <f t="shared" si="86"/>
        <v>0</v>
      </c>
    </row>
    <row r="412" spans="1:21" s="84" customFormat="1" ht="45" x14ac:dyDescent="0.25">
      <c r="A412" s="9" t="s">
        <v>161</v>
      </c>
      <c r="B412" s="1"/>
      <c r="C412" s="1" t="s">
        <v>1105</v>
      </c>
      <c r="D412" s="12">
        <f t="shared" si="87"/>
        <v>83.64</v>
      </c>
      <c r="E412" s="83">
        <v>41.82</v>
      </c>
      <c r="F412" s="83">
        <v>41.82</v>
      </c>
      <c r="G412" s="12">
        <v>93</v>
      </c>
      <c r="H412" s="12">
        <v>96.43</v>
      </c>
      <c r="I412" s="12">
        <f t="shared" si="88"/>
        <v>1</v>
      </c>
      <c r="J412" s="12" t="str">
        <f t="shared" si="89"/>
        <v>Không đạt</v>
      </c>
      <c r="K412" s="10"/>
      <c r="L412" s="96">
        <f t="shared" si="83"/>
        <v>83.64</v>
      </c>
      <c r="M412" s="10">
        <v>41.82</v>
      </c>
      <c r="N412" s="10">
        <v>41.82</v>
      </c>
      <c r="O412" s="143">
        <v>52</v>
      </c>
      <c r="P412" s="97">
        <v>96.4</v>
      </c>
      <c r="Q412" s="12">
        <f t="shared" si="90"/>
        <v>2</v>
      </c>
      <c r="R412" s="12" t="str">
        <f t="shared" si="91"/>
        <v>Đạt</v>
      </c>
      <c r="S412" s="80" t="s">
        <v>1209</v>
      </c>
      <c r="T412" s="95"/>
      <c r="U412" s="84" t="b">
        <f t="shared" si="86"/>
        <v>0</v>
      </c>
    </row>
    <row r="413" spans="1:21" s="84" customFormat="1" ht="45" x14ac:dyDescent="0.25">
      <c r="A413" s="9" t="s">
        <v>162</v>
      </c>
      <c r="B413" s="1"/>
      <c r="C413" s="1" t="s">
        <v>1106</v>
      </c>
      <c r="D413" s="12">
        <f t="shared" si="87"/>
        <v>89.69</v>
      </c>
      <c r="E413" s="83">
        <v>43.3</v>
      </c>
      <c r="F413" s="83">
        <v>46.39</v>
      </c>
      <c r="G413" s="12">
        <v>93</v>
      </c>
      <c r="H413" s="12">
        <v>97.94</v>
      </c>
      <c r="I413" s="12">
        <f t="shared" si="88"/>
        <v>1</v>
      </c>
      <c r="J413" s="12" t="str">
        <f t="shared" si="89"/>
        <v>Không đạt</v>
      </c>
      <c r="K413" s="10"/>
      <c r="L413" s="96">
        <f t="shared" si="83"/>
        <v>89.69</v>
      </c>
      <c r="M413" s="10">
        <v>43.3</v>
      </c>
      <c r="N413" s="10">
        <v>46.39</v>
      </c>
      <c r="O413" s="143">
        <v>53</v>
      </c>
      <c r="P413" s="97">
        <v>97.9</v>
      </c>
      <c r="Q413" s="12">
        <f t="shared" si="90"/>
        <v>2</v>
      </c>
      <c r="R413" s="12" t="str">
        <f t="shared" si="91"/>
        <v>Đạt</v>
      </c>
      <c r="S413" s="80" t="s">
        <v>1209</v>
      </c>
      <c r="T413" s="95"/>
      <c r="U413" s="84" t="b">
        <f t="shared" si="86"/>
        <v>0</v>
      </c>
    </row>
    <row r="414" spans="1:21" s="84" customFormat="1" ht="45" x14ac:dyDescent="0.25">
      <c r="A414" s="9" t="s">
        <v>163</v>
      </c>
      <c r="B414" s="1"/>
      <c r="C414" s="1" t="s">
        <v>429</v>
      </c>
      <c r="D414" s="12">
        <f t="shared" si="87"/>
        <v>96.63</v>
      </c>
      <c r="E414" s="83">
        <v>51.69</v>
      </c>
      <c r="F414" s="83">
        <v>44.94</v>
      </c>
      <c r="G414" s="12">
        <v>93</v>
      </c>
      <c r="H414" s="12">
        <v>96.77</v>
      </c>
      <c r="I414" s="12">
        <f t="shared" si="88"/>
        <v>1</v>
      </c>
      <c r="J414" s="12" t="str">
        <f t="shared" si="89"/>
        <v>Không đạt</v>
      </c>
      <c r="K414" s="10"/>
      <c r="L414" s="96">
        <f t="shared" si="83"/>
        <v>96.63</v>
      </c>
      <c r="M414" s="10">
        <v>51.69</v>
      </c>
      <c r="N414" s="10">
        <v>44.94</v>
      </c>
      <c r="O414" s="143">
        <v>59</v>
      </c>
      <c r="P414" s="97">
        <v>96.8</v>
      </c>
      <c r="Q414" s="12">
        <f t="shared" si="90"/>
        <v>2</v>
      </c>
      <c r="R414" s="12" t="str">
        <f t="shared" si="91"/>
        <v>Đạt</v>
      </c>
      <c r="S414" s="80" t="s">
        <v>1209</v>
      </c>
      <c r="T414" s="95"/>
      <c r="U414" s="84" t="b">
        <f t="shared" si="86"/>
        <v>0</v>
      </c>
    </row>
    <row r="415" spans="1:21" s="84" customFormat="1" ht="45" x14ac:dyDescent="0.25">
      <c r="A415" s="9" t="s">
        <v>164</v>
      </c>
      <c r="B415" s="1"/>
      <c r="C415" s="1" t="s">
        <v>430</v>
      </c>
      <c r="D415" s="12">
        <f t="shared" si="87"/>
        <v>81.819999999999993</v>
      </c>
      <c r="E415" s="83">
        <v>40.909999999999997</v>
      </c>
      <c r="F415" s="83">
        <v>40.909999999999997</v>
      </c>
      <c r="G415" s="12">
        <v>26</v>
      </c>
      <c r="H415" s="12">
        <v>100</v>
      </c>
      <c r="I415" s="12">
        <f t="shared" si="88"/>
        <v>2</v>
      </c>
      <c r="J415" s="12" t="str">
        <f t="shared" si="89"/>
        <v>Đạt</v>
      </c>
      <c r="K415" s="10"/>
      <c r="L415" s="96">
        <f t="shared" si="83"/>
        <v>81.819999999999993</v>
      </c>
      <c r="M415" s="10">
        <v>40.909999999999997</v>
      </c>
      <c r="N415" s="10">
        <v>40.909999999999997</v>
      </c>
      <c r="O415" s="143">
        <v>35</v>
      </c>
      <c r="P415" s="97">
        <v>100</v>
      </c>
      <c r="Q415" s="12">
        <f t="shared" si="90"/>
        <v>2</v>
      </c>
      <c r="R415" s="12" t="str">
        <f t="shared" si="91"/>
        <v>Đạt</v>
      </c>
      <c r="S415" s="80" t="s">
        <v>1209</v>
      </c>
      <c r="T415" s="95"/>
      <c r="U415" s="84" t="b">
        <f t="shared" si="86"/>
        <v>1</v>
      </c>
    </row>
    <row r="416" spans="1:21" s="84" customFormat="1" ht="45" x14ac:dyDescent="0.25">
      <c r="A416" s="9" t="s">
        <v>165</v>
      </c>
      <c r="B416" s="1"/>
      <c r="C416" s="1" t="s">
        <v>820</v>
      </c>
      <c r="D416" s="12">
        <f t="shared" si="87"/>
        <v>68.460000000000008</v>
      </c>
      <c r="E416" s="83">
        <v>28.46</v>
      </c>
      <c r="F416" s="83">
        <v>40</v>
      </c>
      <c r="G416" s="12">
        <v>100</v>
      </c>
      <c r="H416" s="12">
        <v>96.97</v>
      </c>
      <c r="I416" s="12">
        <f t="shared" si="88"/>
        <v>1</v>
      </c>
      <c r="J416" s="12" t="str">
        <f t="shared" si="89"/>
        <v>Không đạt</v>
      </c>
      <c r="K416" s="10"/>
      <c r="L416" s="96">
        <f t="shared" si="83"/>
        <v>68.460000000000008</v>
      </c>
      <c r="M416" s="10">
        <v>28.46</v>
      </c>
      <c r="N416" s="10">
        <v>40</v>
      </c>
      <c r="O416" s="143">
        <v>53</v>
      </c>
      <c r="P416" s="97">
        <v>97</v>
      </c>
      <c r="Q416" s="12">
        <f t="shared" si="90"/>
        <v>2</v>
      </c>
      <c r="R416" s="12" t="str">
        <f t="shared" si="91"/>
        <v>Đạt</v>
      </c>
      <c r="S416" s="80" t="s">
        <v>1209</v>
      </c>
      <c r="T416" s="95"/>
      <c r="U416" s="84" t="b">
        <f t="shared" si="86"/>
        <v>0</v>
      </c>
    </row>
    <row r="417" spans="1:21" s="84" customFormat="1" ht="45" x14ac:dyDescent="0.25">
      <c r="A417" s="9" t="s">
        <v>166</v>
      </c>
      <c r="B417" s="1"/>
      <c r="C417" s="1" t="s">
        <v>347</v>
      </c>
      <c r="D417" s="12">
        <f t="shared" si="87"/>
        <v>68.2</v>
      </c>
      <c r="E417" s="83">
        <v>19.2</v>
      </c>
      <c r="F417" s="83">
        <v>49</v>
      </c>
      <c r="G417" s="12">
        <v>97</v>
      </c>
      <c r="H417" s="12">
        <v>98.05</v>
      </c>
      <c r="I417" s="12">
        <f t="shared" si="88"/>
        <v>1</v>
      </c>
      <c r="J417" s="12" t="str">
        <f t="shared" si="89"/>
        <v>Không đạt</v>
      </c>
      <c r="K417" s="10"/>
      <c r="L417" s="96">
        <f t="shared" si="83"/>
        <v>68.2</v>
      </c>
      <c r="M417" s="10">
        <v>19.2</v>
      </c>
      <c r="N417" s="10">
        <v>49</v>
      </c>
      <c r="O417" s="143">
        <v>55.000000000000007</v>
      </c>
      <c r="P417" s="97">
        <v>98.1</v>
      </c>
      <c r="Q417" s="12">
        <f t="shared" si="90"/>
        <v>2</v>
      </c>
      <c r="R417" s="12" t="str">
        <f t="shared" si="91"/>
        <v>Đạt</v>
      </c>
      <c r="S417" s="80" t="s">
        <v>1209</v>
      </c>
      <c r="T417" s="95"/>
      <c r="U417" s="84" t="b">
        <f t="shared" si="86"/>
        <v>0</v>
      </c>
    </row>
    <row r="418" spans="1:21" s="84" customFormat="1" ht="45" x14ac:dyDescent="0.25">
      <c r="A418" s="9" t="s">
        <v>167</v>
      </c>
      <c r="B418" s="1"/>
      <c r="C418" s="1" t="s">
        <v>1107</v>
      </c>
      <c r="D418" s="12">
        <f t="shared" si="87"/>
        <v>79.58</v>
      </c>
      <c r="E418" s="83">
        <v>40.799999999999997</v>
      </c>
      <c r="F418" s="83">
        <v>38.78</v>
      </c>
      <c r="G418" s="12">
        <v>100</v>
      </c>
      <c r="H418" s="12">
        <v>97.14</v>
      </c>
      <c r="I418" s="12">
        <f t="shared" si="88"/>
        <v>1</v>
      </c>
      <c r="J418" s="12" t="str">
        <f t="shared" si="89"/>
        <v>Không đạt</v>
      </c>
      <c r="K418" s="10"/>
      <c r="L418" s="96">
        <f t="shared" si="83"/>
        <v>79.58</v>
      </c>
      <c r="M418" s="10">
        <v>40.799999999999997</v>
      </c>
      <c r="N418" s="10">
        <v>38.78</v>
      </c>
      <c r="O418" s="143">
        <v>56.999999999999993</v>
      </c>
      <c r="P418" s="97">
        <v>97.1</v>
      </c>
      <c r="Q418" s="12">
        <f t="shared" si="90"/>
        <v>2</v>
      </c>
      <c r="R418" s="12" t="str">
        <f t="shared" si="91"/>
        <v>Đạt</v>
      </c>
      <c r="S418" s="80" t="s">
        <v>1209</v>
      </c>
      <c r="T418" s="95"/>
      <c r="U418" s="84" t="b">
        <f t="shared" si="86"/>
        <v>0</v>
      </c>
    </row>
    <row r="419" spans="1:21" s="84" customFormat="1" ht="45" x14ac:dyDescent="0.25">
      <c r="A419" s="9" t="s">
        <v>168</v>
      </c>
      <c r="B419" s="1"/>
      <c r="C419" s="1" t="s">
        <v>1108</v>
      </c>
      <c r="D419" s="12">
        <f t="shared" si="87"/>
        <v>86.9</v>
      </c>
      <c r="E419" s="83">
        <v>39.299999999999997</v>
      </c>
      <c r="F419" s="83">
        <v>47.6</v>
      </c>
      <c r="G419" s="12">
        <v>100</v>
      </c>
      <c r="H419" s="12">
        <v>97.7</v>
      </c>
      <c r="I419" s="12">
        <f t="shared" si="88"/>
        <v>1</v>
      </c>
      <c r="J419" s="12" t="str">
        <f t="shared" si="89"/>
        <v>Không đạt</v>
      </c>
      <c r="K419" s="10"/>
      <c r="L419" s="96">
        <f t="shared" si="83"/>
        <v>86.9</v>
      </c>
      <c r="M419" s="10">
        <v>39.299999999999997</v>
      </c>
      <c r="N419" s="10">
        <v>47.6</v>
      </c>
      <c r="O419" s="143">
        <v>57.999999999999993</v>
      </c>
      <c r="P419" s="97">
        <v>97.7</v>
      </c>
      <c r="Q419" s="12">
        <f t="shared" si="90"/>
        <v>2</v>
      </c>
      <c r="R419" s="12" t="str">
        <f t="shared" si="91"/>
        <v>Đạt</v>
      </c>
      <c r="S419" s="80" t="s">
        <v>1209</v>
      </c>
      <c r="T419" s="95"/>
      <c r="U419" s="84" t="b">
        <f t="shared" si="86"/>
        <v>0</v>
      </c>
    </row>
    <row r="420" spans="1:21" s="84" customFormat="1" ht="45" x14ac:dyDescent="0.25">
      <c r="A420" s="9" t="s">
        <v>169</v>
      </c>
      <c r="B420" s="1"/>
      <c r="C420" s="1" t="s">
        <v>1109</v>
      </c>
      <c r="D420" s="12">
        <f t="shared" si="87"/>
        <v>96.710000000000008</v>
      </c>
      <c r="E420" s="83">
        <v>67.2</v>
      </c>
      <c r="F420" s="83">
        <v>29.51</v>
      </c>
      <c r="G420" s="12">
        <v>100</v>
      </c>
      <c r="H420" s="12">
        <v>98.46</v>
      </c>
      <c r="I420" s="12">
        <f t="shared" si="88"/>
        <v>1</v>
      </c>
      <c r="J420" s="12" t="str">
        <f t="shared" si="89"/>
        <v>Không đạt</v>
      </c>
      <c r="K420" s="10"/>
      <c r="L420" s="96">
        <f t="shared" si="83"/>
        <v>96.710000000000008</v>
      </c>
      <c r="M420" s="10">
        <v>67.2</v>
      </c>
      <c r="N420" s="10">
        <v>29.51</v>
      </c>
      <c r="O420" s="143">
        <v>57.999999999999993</v>
      </c>
      <c r="P420" s="97">
        <v>98.5</v>
      </c>
      <c r="Q420" s="12">
        <f t="shared" si="90"/>
        <v>2</v>
      </c>
      <c r="R420" s="12" t="str">
        <f t="shared" si="91"/>
        <v>Đạt</v>
      </c>
      <c r="S420" s="80" t="s">
        <v>1209</v>
      </c>
      <c r="T420" s="95"/>
      <c r="U420" s="84" t="b">
        <f t="shared" si="86"/>
        <v>0</v>
      </c>
    </row>
    <row r="421" spans="1:21" s="84" customFormat="1" ht="45" x14ac:dyDescent="0.25">
      <c r="A421" s="9" t="s">
        <v>170</v>
      </c>
      <c r="B421" s="1"/>
      <c r="C421" s="1" t="s">
        <v>1110</v>
      </c>
      <c r="D421" s="12">
        <f t="shared" si="87"/>
        <v>89.5</v>
      </c>
      <c r="E421" s="83">
        <v>59.3</v>
      </c>
      <c r="F421" s="83">
        <v>30.2</v>
      </c>
      <c r="G421" s="12">
        <v>93</v>
      </c>
      <c r="H421" s="12">
        <v>96.77</v>
      </c>
      <c r="I421" s="12">
        <f t="shared" si="88"/>
        <v>1</v>
      </c>
      <c r="J421" s="12" t="str">
        <f t="shared" si="89"/>
        <v>Không đạt</v>
      </c>
      <c r="K421" s="10"/>
      <c r="L421" s="96">
        <f t="shared" si="83"/>
        <v>89.5</v>
      </c>
      <c r="M421" s="10">
        <v>59.3</v>
      </c>
      <c r="N421" s="10">
        <v>30.2</v>
      </c>
      <c r="O421" s="143">
        <v>43</v>
      </c>
      <c r="P421" s="97">
        <v>96.8</v>
      </c>
      <c r="Q421" s="12">
        <f t="shared" si="90"/>
        <v>2</v>
      </c>
      <c r="R421" s="12" t="str">
        <f t="shared" si="91"/>
        <v>Đạt</v>
      </c>
      <c r="S421" s="80" t="s">
        <v>1209</v>
      </c>
      <c r="T421" s="95"/>
      <c r="U421" s="84" t="b">
        <f t="shared" si="86"/>
        <v>0</v>
      </c>
    </row>
    <row r="422" spans="1:21" s="84" customFormat="1" ht="45" x14ac:dyDescent="0.25">
      <c r="A422" s="9" t="s">
        <v>171</v>
      </c>
      <c r="B422" s="1"/>
      <c r="C422" s="1" t="s">
        <v>1111</v>
      </c>
      <c r="D422" s="12">
        <f t="shared" si="87"/>
        <v>92.19</v>
      </c>
      <c r="E422" s="83">
        <v>63.3</v>
      </c>
      <c r="F422" s="83">
        <v>28.89</v>
      </c>
      <c r="G422" s="12">
        <v>93</v>
      </c>
      <c r="H422" s="12">
        <v>97.67</v>
      </c>
      <c r="I422" s="12">
        <f t="shared" si="88"/>
        <v>1</v>
      </c>
      <c r="J422" s="12" t="str">
        <f t="shared" si="89"/>
        <v>Không đạt</v>
      </c>
      <c r="K422" s="10"/>
      <c r="L422" s="96">
        <f t="shared" si="83"/>
        <v>92.19</v>
      </c>
      <c r="M422" s="10">
        <v>63.3</v>
      </c>
      <c r="N422" s="10">
        <v>28.89</v>
      </c>
      <c r="O422" s="143">
        <v>42</v>
      </c>
      <c r="P422" s="97">
        <v>97.7</v>
      </c>
      <c r="Q422" s="12">
        <f t="shared" si="90"/>
        <v>2</v>
      </c>
      <c r="R422" s="12" t="str">
        <f t="shared" si="91"/>
        <v>Đạt</v>
      </c>
      <c r="S422" s="80" t="s">
        <v>1209</v>
      </c>
      <c r="T422" s="95"/>
      <c r="U422" s="84" t="b">
        <f t="shared" si="86"/>
        <v>0</v>
      </c>
    </row>
    <row r="423" spans="1:21" s="84" customFormat="1" ht="45" x14ac:dyDescent="0.25">
      <c r="A423" s="9" t="s">
        <v>172</v>
      </c>
      <c r="B423" s="1"/>
      <c r="C423" s="1" t="s">
        <v>1112</v>
      </c>
      <c r="D423" s="12">
        <f t="shared" si="87"/>
        <v>79.31</v>
      </c>
      <c r="E423" s="83">
        <v>43.1</v>
      </c>
      <c r="F423" s="83">
        <v>36.21</v>
      </c>
      <c r="G423" s="12">
        <v>95</v>
      </c>
      <c r="H423" s="12">
        <v>96.67</v>
      </c>
      <c r="I423" s="12">
        <f t="shared" si="88"/>
        <v>1</v>
      </c>
      <c r="J423" s="12" t="str">
        <f t="shared" si="89"/>
        <v>Không đạt</v>
      </c>
      <c r="K423" s="10"/>
      <c r="L423" s="96">
        <f t="shared" si="83"/>
        <v>79.31</v>
      </c>
      <c r="M423" s="10">
        <v>43.1</v>
      </c>
      <c r="N423" s="10">
        <v>36.21</v>
      </c>
      <c r="O423" s="143">
        <v>56.000000000000007</v>
      </c>
      <c r="P423" s="97">
        <v>96.7</v>
      </c>
      <c r="Q423" s="12">
        <f t="shared" si="90"/>
        <v>2</v>
      </c>
      <c r="R423" s="12" t="str">
        <f t="shared" si="91"/>
        <v>Đạt</v>
      </c>
      <c r="S423" s="80" t="s">
        <v>1209</v>
      </c>
      <c r="T423" s="95"/>
      <c r="U423" s="84" t="b">
        <f t="shared" si="86"/>
        <v>0</v>
      </c>
    </row>
    <row r="424" spans="1:21" s="84" customFormat="1" ht="45" x14ac:dyDescent="0.25">
      <c r="A424" s="9" t="s">
        <v>173</v>
      </c>
      <c r="B424" s="1"/>
      <c r="C424" s="1" t="s">
        <v>1113</v>
      </c>
      <c r="D424" s="12">
        <f t="shared" si="87"/>
        <v>68.09</v>
      </c>
      <c r="E424" s="83">
        <v>32.979999999999997</v>
      </c>
      <c r="F424" s="83">
        <v>35.11</v>
      </c>
      <c r="G424" s="12">
        <v>95</v>
      </c>
      <c r="H424" s="12">
        <v>96.91</v>
      </c>
      <c r="I424" s="12">
        <f t="shared" si="88"/>
        <v>1</v>
      </c>
      <c r="J424" s="12" t="str">
        <f t="shared" si="89"/>
        <v>Không đạt</v>
      </c>
      <c r="K424" s="10"/>
      <c r="L424" s="96">
        <f t="shared" si="83"/>
        <v>68.09</v>
      </c>
      <c r="M424" s="10">
        <v>32.979999999999997</v>
      </c>
      <c r="N424" s="10">
        <v>35.11</v>
      </c>
      <c r="O424" s="143">
        <v>49</v>
      </c>
      <c r="P424" s="97">
        <v>96.9</v>
      </c>
      <c r="Q424" s="12">
        <f t="shared" si="90"/>
        <v>2</v>
      </c>
      <c r="R424" s="12" t="str">
        <f t="shared" si="91"/>
        <v>Đạt</v>
      </c>
      <c r="S424" s="80" t="s">
        <v>1209</v>
      </c>
      <c r="T424" s="95"/>
      <c r="U424" s="84" t="b">
        <f t="shared" si="86"/>
        <v>0</v>
      </c>
    </row>
    <row r="425" spans="1:21" s="84" customFormat="1" ht="45" x14ac:dyDescent="0.25">
      <c r="A425" s="9" t="s">
        <v>174</v>
      </c>
      <c r="B425" s="1"/>
      <c r="C425" s="1" t="s">
        <v>1114</v>
      </c>
      <c r="D425" s="12">
        <f t="shared" si="87"/>
        <v>83.1</v>
      </c>
      <c r="E425" s="83">
        <v>43.66</v>
      </c>
      <c r="F425" s="83">
        <v>39.44</v>
      </c>
      <c r="G425" s="12">
        <v>90</v>
      </c>
      <c r="H425" s="12">
        <v>96</v>
      </c>
      <c r="I425" s="12">
        <f t="shared" si="88"/>
        <v>1</v>
      </c>
      <c r="J425" s="12" t="str">
        <f t="shared" si="89"/>
        <v>Không đạt</v>
      </c>
      <c r="K425" s="10"/>
      <c r="L425" s="96">
        <f t="shared" si="83"/>
        <v>83.1</v>
      </c>
      <c r="M425" s="10">
        <v>43.66</v>
      </c>
      <c r="N425" s="10">
        <v>39.44</v>
      </c>
      <c r="O425" s="143">
        <v>50</v>
      </c>
      <c r="P425" s="97">
        <v>96</v>
      </c>
      <c r="Q425" s="12">
        <f t="shared" si="90"/>
        <v>2</v>
      </c>
      <c r="R425" s="12" t="str">
        <f t="shared" si="91"/>
        <v>Đạt</v>
      </c>
      <c r="S425" s="80" t="s">
        <v>1209</v>
      </c>
      <c r="T425" s="95"/>
      <c r="U425" s="84" t="b">
        <f t="shared" si="86"/>
        <v>0</v>
      </c>
    </row>
    <row r="426" spans="1:21" s="84" customFormat="1" ht="45" x14ac:dyDescent="0.25">
      <c r="A426" s="9" t="s">
        <v>175</v>
      </c>
      <c r="B426" s="1"/>
      <c r="C426" s="1" t="s">
        <v>1115</v>
      </c>
      <c r="D426" s="12">
        <f t="shared" si="87"/>
        <v>70</v>
      </c>
      <c r="E426" s="83">
        <v>31</v>
      </c>
      <c r="F426" s="83">
        <v>39</v>
      </c>
      <c r="G426" s="12">
        <v>100</v>
      </c>
      <c r="H426" s="12">
        <v>96.23</v>
      </c>
      <c r="I426" s="12">
        <f t="shared" si="88"/>
        <v>1</v>
      </c>
      <c r="J426" s="12" t="str">
        <f t="shared" si="89"/>
        <v>Không đạt</v>
      </c>
      <c r="K426" s="10"/>
      <c r="L426" s="96">
        <f t="shared" si="83"/>
        <v>70</v>
      </c>
      <c r="M426" s="10">
        <v>31</v>
      </c>
      <c r="N426" s="10">
        <v>39</v>
      </c>
      <c r="O426" s="143">
        <v>56.000000000000007</v>
      </c>
      <c r="P426" s="97">
        <v>96.2</v>
      </c>
      <c r="Q426" s="12">
        <f t="shared" si="90"/>
        <v>2</v>
      </c>
      <c r="R426" s="12" t="str">
        <f t="shared" si="91"/>
        <v>Đạt</v>
      </c>
      <c r="S426" s="80" t="s">
        <v>1209</v>
      </c>
      <c r="T426" s="95"/>
      <c r="U426" s="84" t="b">
        <f t="shared" si="86"/>
        <v>0</v>
      </c>
    </row>
    <row r="427" spans="1:21" s="84" customFormat="1" ht="45" x14ac:dyDescent="0.25">
      <c r="A427" s="9" t="s">
        <v>176</v>
      </c>
      <c r="B427" s="1"/>
      <c r="C427" s="1" t="s">
        <v>1116</v>
      </c>
      <c r="D427" s="12">
        <f t="shared" si="87"/>
        <v>59.44</v>
      </c>
      <c r="E427" s="83">
        <v>25.87</v>
      </c>
      <c r="F427" s="83">
        <v>33.57</v>
      </c>
      <c r="G427" s="12">
        <v>100</v>
      </c>
      <c r="H427" s="12">
        <v>97.24</v>
      </c>
      <c r="I427" s="12">
        <f t="shared" si="88"/>
        <v>1</v>
      </c>
      <c r="J427" s="12" t="str">
        <f t="shared" si="89"/>
        <v>Không đạt</v>
      </c>
      <c r="K427" s="10"/>
      <c r="L427" s="96">
        <f t="shared" si="83"/>
        <v>59.44</v>
      </c>
      <c r="M427" s="10">
        <v>25.87</v>
      </c>
      <c r="N427" s="10">
        <v>33.57</v>
      </c>
      <c r="O427" s="143">
        <v>55.000000000000007</v>
      </c>
      <c r="P427" s="97">
        <v>97.2</v>
      </c>
      <c r="Q427" s="12">
        <f t="shared" si="90"/>
        <v>2</v>
      </c>
      <c r="R427" s="12" t="str">
        <f t="shared" si="91"/>
        <v>Đạt</v>
      </c>
      <c r="S427" s="80" t="s">
        <v>1209</v>
      </c>
      <c r="T427" s="95"/>
      <c r="U427" s="84" t="b">
        <f t="shared" si="86"/>
        <v>0</v>
      </c>
    </row>
    <row r="428" spans="1:21" s="84" customFormat="1" ht="45" x14ac:dyDescent="0.25">
      <c r="A428" s="9" t="s">
        <v>177</v>
      </c>
      <c r="B428" s="1"/>
      <c r="C428" s="1" t="s">
        <v>1117</v>
      </c>
      <c r="D428" s="12">
        <f t="shared" si="87"/>
        <v>83.33</v>
      </c>
      <c r="E428" s="83">
        <v>30.95</v>
      </c>
      <c r="F428" s="83">
        <v>52.38</v>
      </c>
      <c r="G428" s="12">
        <v>100</v>
      </c>
      <c r="H428" s="12">
        <v>97.62</v>
      </c>
      <c r="I428" s="12">
        <f t="shared" si="88"/>
        <v>1</v>
      </c>
      <c r="J428" s="12" t="str">
        <f t="shared" si="89"/>
        <v>Không đạt</v>
      </c>
      <c r="K428" s="10"/>
      <c r="L428" s="96">
        <f t="shared" si="83"/>
        <v>83.33</v>
      </c>
      <c r="M428" s="10">
        <v>30.95</v>
      </c>
      <c r="N428" s="10">
        <v>52.38</v>
      </c>
      <c r="O428" s="143">
        <v>44</v>
      </c>
      <c r="P428" s="97">
        <v>97.6</v>
      </c>
      <c r="Q428" s="12">
        <f t="shared" si="90"/>
        <v>2</v>
      </c>
      <c r="R428" s="12" t="str">
        <f t="shared" si="91"/>
        <v>Đạt</v>
      </c>
      <c r="S428" s="80" t="s">
        <v>1209</v>
      </c>
      <c r="T428" s="95"/>
      <c r="U428" s="84" t="b">
        <f t="shared" si="86"/>
        <v>0</v>
      </c>
    </row>
    <row r="429" spans="1:21" s="84" customFormat="1" ht="45" x14ac:dyDescent="0.25">
      <c r="A429" s="9" t="s">
        <v>178</v>
      </c>
      <c r="B429" s="1"/>
      <c r="C429" s="1" t="s">
        <v>1118</v>
      </c>
      <c r="D429" s="12">
        <f t="shared" si="87"/>
        <v>79.77</v>
      </c>
      <c r="E429" s="83">
        <v>43.23</v>
      </c>
      <c r="F429" s="83">
        <v>36.54</v>
      </c>
      <c r="G429" s="12">
        <v>96</v>
      </c>
      <c r="H429" s="12">
        <v>90.74</v>
      </c>
      <c r="I429" s="12">
        <f t="shared" si="88"/>
        <v>1</v>
      </c>
      <c r="J429" s="12" t="str">
        <f t="shared" si="89"/>
        <v>Không đạt</v>
      </c>
      <c r="K429" s="10"/>
      <c r="L429" s="96">
        <f t="shared" si="83"/>
        <v>79.77</v>
      </c>
      <c r="M429" s="10">
        <v>43.23</v>
      </c>
      <c r="N429" s="10">
        <v>36.54</v>
      </c>
      <c r="O429" s="143">
        <v>47</v>
      </c>
      <c r="P429" s="97">
        <v>90.7</v>
      </c>
      <c r="Q429" s="12">
        <f t="shared" si="90"/>
        <v>2</v>
      </c>
      <c r="R429" s="12" t="str">
        <f t="shared" si="91"/>
        <v>Đạt</v>
      </c>
      <c r="S429" s="80" t="s">
        <v>1209</v>
      </c>
      <c r="T429" s="95"/>
      <c r="U429" s="84" t="b">
        <f t="shared" si="86"/>
        <v>0</v>
      </c>
    </row>
    <row r="430" spans="1:21" s="84" customFormat="1" ht="45" x14ac:dyDescent="0.25">
      <c r="A430" s="9" t="s">
        <v>179</v>
      </c>
      <c r="B430" s="1"/>
      <c r="C430" s="1" t="s">
        <v>1119</v>
      </c>
      <c r="D430" s="12">
        <f t="shared" si="87"/>
        <v>70</v>
      </c>
      <c r="E430" s="83">
        <v>37.5</v>
      </c>
      <c r="F430" s="83">
        <v>32.5</v>
      </c>
      <c r="G430" s="12">
        <v>100</v>
      </c>
      <c r="H430" s="12">
        <v>88.37</v>
      </c>
      <c r="I430" s="12">
        <f t="shared" si="88"/>
        <v>2</v>
      </c>
      <c r="J430" s="12" t="str">
        <f t="shared" si="89"/>
        <v>Đạt</v>
      </c>
      <c r="K430" s="10"/>
      <c r="L430" s="96">
        <f t="shared" si="83"/>
        <v>70</v>
      </c>
      <c r="M430" s="10">
        <v>37.5</v>
      </c>
      <c r="N430" s="10">
        <v>32.5</v>
      </c>
      <c r="O430" s="143">
        <v>57.999999999999993</v>
      </c>
      <c r="P430" s="97">
        <v>88.4</v>
      </c>
      <c r="Q430" s="12">
        <f t="shared" si="90"/>
        <v>3</v>
      </c>
      <c r="R430" s="12" t="str">
        <f t="shared" si="91"/>
        <v>Đạt</v>
      </c>
      <c r="S430" s="80" t="s">
        <v>1209</v>
      </c>
      <c r="T430" s="95"/>
      <c r="U430" s="84" t="b">
        <f t="shared" si="86"/>
        <v>1</v>
      </c>
    </row>
    <row r="431" spans="1:21" s="84" customFormat="1" ht="45" x14ac:dyDescent="0.25">
      <c r="A431" s="9" t="s">
        <v>180</v>
      </c>
      <c r="B431" s="1"/>
      <c r="C431" s="1" t="s">
        <v>1120</v>
      </c>
      <c r="D431" s="12">
        <f>E431+F431</f>
        <v>80.430000000000007</v>
      </c>
      <c r="E431" s="83">
        <v>52.17</v>
      </c>
      <c r="F431" s="83">
        <v>28.26</v>
      </c>
      <c r="G431" s="12">
        <v>100</v>
      </c>
      <c r="H431" s="12">
        <v>90.22</v>
      </c>
      <c r="I431" s="12">
        <f>SUM((IF(D431&gt;=16.24,1,0))+(IF(G431&lt;60,1,0))+(IF(H431&lt;90,1,0)))</f>
        <v>1</v>
      </c>
      <c r="J431" s="12" t="str">
        <f>IF(I431&gt;=2,"Đạt","Không đạt")</f>
        <v>Không đạt</v>
      </c>
      <c r="K431" s="10"/>
      <c r="L431" s="96">
        <f t="shared" si="83"/>
        <v>80.430000000000007</v>
      </c>
      <c r="M431" s="10">
        <v>52.17</v>
      </c>
      <c r="N431" s="10">
        <v>28.26</v>
      </c>
      <c r="O431" s="143">
        <v>56.999999999999993</v>
      </c>
      <c r="P431" s="97">
        <v>90.2</v>
      </c>
      <c r="Q431" s="12">
        <f t="shared" si="90"/>
        <v>2</v>
      </c>
      <c r="R431" s="12" t="str">
        <f t="shared" si="91"/>
        <v>Đạt</v>
      </c>
      <c r="S431" s="80" t="s">
        <v>1209</v>
      </c>
      <c r="T431" s="95"/>
      <c r="U431" s="84" t="b">
        <f t="shared" si="86"/>
        <v>0</v>
      </c>
    </row>
    <row r="432" spans="1:21" s="109" customFormat="1" x14ac:dyDescent="0.25">
      <c r="A432" s="63" t="s">
        <v>995</v>
      </c>
      <c r="B432" s="64" t="s">
        <v>126</v>
      </c>
      <c r="C432" s="64"/>
      <c r="D432" s="66"/>
      <c r="E432" s="106"/>
      <c r="F432" s="106"/>
      <c r="G432" s="66"/>
      <c r="H432" s="66"/>
      <c r="I432" s="69"/>
      <c r="J432" s="69"/>
      <c r="K432" s="68">
        <f>COUNTIF(J433:J479,"Đạt")</f>
        <v>10</v>
      </c>
      <c r="L432" s="107">
        <f t="shared" si="83"/>
        <v>0</v>
      </c>
      <c r="M432" s="65"/>
      <c r="N432" s="65"/>
      <c r="O432" s="66"/>
      <c r="P432" s="108"/>
      <c r="Q432" s="69"/>
      <c r="R432" s="69"/>
      <c r="S432" s="68" t="s">
        <v>1200</v>
      </c>
      <c r="U432" s="84"/>
    </row>
    <row r="433" spans="1:21" s="95" customFormat="1" hidden="1" x14ac:dyDescent="0.25">
      <c r="A433" s="9" t="s">
        <v>148</v>
      </c>
      <c r="B433" s="13"/>
      <c r="C433" s="1" t="s">
        <v>996</v>
      </c>
      <c r="D433" s="12">
        <f>E433+F433</f>
        <v>39.67</v>
      </c>
      <c r="E433" s="83">
        <v>17.36</v>
      </c>
      <c r="F433" s="83">
        <v>22.31</v>
      </c>
      <c r="G433" s="12">
        <v>58</v>
      </c>
      <c r="H433" s="12">
        <v>83.47</v>
      </c>
      <c r="I433" s="12">
        <f t="shared" ref="I433:I478" si="92">SUM((IF(D433&gt;=16.24,1,0))+(IF(G433&lt;60,1,0))+(IF(H433&lt;90,1,0)))</f>
        <v>3</v>
      </c>
      <c r="J433" s="12" t="str">
        <f>IF(I433&gt;=2,"Đạt","Không đạt")</f>
        <v>Đạt</v>
      </c>
      <c r="K433" s="14"/>
      <c r="L433" s="96">
        <f t="shared" si="83"/>
        <v>39.67</v>
      </c>
      <c r="M433" s="10">
        <v>17.36</v>
      </c>
      <c r="N433" s="10">
        <v>22.31</v>
      </c>
      <c r="O433" s="12">
        <v>58</v>
      </c>
      <c r="P433" s="97">
        <v>86.8</v>
      </c>
      <c r="Q433" s="12">
        <f t="shared" si="84"/>
        <v>3</v>
      </c>
      <c r="R433" s="12" t="str">
        <f t="shared" si="85"/>
        <v>Đạt</v>
      </c>
      <c r="S433" s="14"/>
      <c r="U433" s="84"/>
    </row>
    <row r="434" spans="1:21" s="95" customFormat="1" hidden="1" x14ac:dyDescent="0.25">
      <c r="A434" s="9" t="s">
        <v>149</v>
      </c>
      <c r="B434" s="13"/>
      <c r="C434" s="1" t="s">
        <v>997</v>
      </c>
      <c r="D434" s="12">
        <f t="shared" ref="D434:D479" si="93">E434+F434</f>
        <v>77.849999999999994</v>
      </c>
      <c r="E434" s="83">
        <v>65.849999999999994</v>
      </c>
      <c r="F434" s="83">
        <v>12</v>
      </c>
      <c r="G434" s="12">
        <v>57</v>
      </c>
      <c r="H434" s="12">
        <v>100</v>
      </c>
      <c r="I434" s="12">
        <f t="shared" si="92"/>
        <v>2</v>
      </c>
      <c r="J434" s="12" t="str">
        <f t="shared" ref="J434:J478" si="94">IF(I434&gt;=2,"Đạt","Không đạt")</f>
        <v>Đạt</v>
      </c>
      <c r="K434" s="14"/>
      <c r="L434" s="96">
        <f t="shared" si="83"/>
        <v>77.849999999999994</v>
      </c>
      <c r="M434" s="10">
        <v>65.849999999999994</v>
      </c>
      <c r="N434" s="10">
        <v>12</v>
      </c>
      <c r="O434" s="12">
        <v>57</v>
      </c>
      <c r="P434" s="97">
        <v>85.4</v>
      </c>
      <c r="Q434" s="12">
        <f t="shared" si="84"/>
        <v>3</v>
      </c>
      <c r="R434" s="12" t="str">
        <f t="shared" si="85"/>
        <v>Đạt</v>
      </c>
      <c r="S434" s="14"/>
      <c r="U434" s="84"/>
    </row>
    <row r="435" spans="1:21" s="95" customFormat="1" hidden="1" x14ac:dyDescent="0.25">
      <c r="A435" s="9" t="s">
        <v>150</v>
      </c>
      <c r="B435" s="13"/>
      <c r="C435" s="1" t="s">
        <v>998</v>
      </c>
      <c r="D435" s="12">
        <f t="shared" si="93"/>
        <v>48.22</v>
      </c>
      <c r="E435" s="83">
        <v>33.93</v>
      </c>
      <c r="F435" s="83">
        <v>14.29</v>
      </c>
      <c r="G435" s="12">
        <v>58</v>
      </c>
      <c r="H435" s="12">
        <v>89.28</v>
      </c>
      <c r="I435" s="12">
        <f>SUM((IF(D435&gt;=16.24,1,0))+(IF(G435&lt;60,1,0))+(IF(H435&lt;90,1,0)))</f>
        <v>3</v>
      </c>
      <c r="J435" s="12" t="str">
        <f t="shared" si="94"/>
        <v>Đạt</v>
      </c>
      <c r="K435" s="14"/>
      <c r="L435" s="96">
        <f t="shared" si="83"/>
        <v>48.22</v>
      </c>
      <c r="M435" s="10">
        <v>33.93</v>
      </c>
      <c r="N435" s="10">
        <v>14.29</v>
      </c>
      <c r="O435" s="12">
        <v>58</v>
      </c>
      <c r="P435" s="97">
        <v>87.5</v>
      </c>
      <c r="Q435" s="12">
        <f t="shared" si="84"/>
        <v>3</v>
      </c>
      <c r="R435" s="12" t="str">
        <f t="shared" si="85"/>
        <v>Đạt</v>
      </c>
      <c r="S435" s="14"/>
      <c r="U435" s="84"/>
    </row>
    <row r="436" spans="1:21" s="95" customFormat="1" hidden="1" x14ac:dyDescent="0.25">
      <c r="A436" s="9" t="s">
        <v>151</v>
      </c>
      <c r="B436" s="13"/>
      <c r="C436" s="1" t="s">
        <v>999</v>
      </c>
      <c r="D436" s="12">
        <f t="shared" si="93"/>
        <v>56.819999999999993</v>
      </c>
      <c r="E436" s="83">
        <v>40.909999999999997</v>
      </c>
      <c r="F436" s="83">
        <v>15.91</v>
      </c>
      <c r="G436" s="12">
        <v>56</v>
      </c>
      <c r="H436" s="12">
        <v>100</v>
      </c>
      <c r="I436" s="12">
        <f t="shared" si="92"/>
        <v>2</v>
      </c>
      <c r="J436" s="12" t="str">
        <f t="shared" si="94"/>
        <v>Đạt</v>
      </c>
      <c r="K436" s="14"/>
      <c r="L436" s="96">
        <f t="shared" si="83"/>
        <v>56.819999999999993</v>
      </c>
      <c r="M436" s="10">
        <v>40.909999999999997</v>
      </c>
      <c r="N436" s="10">
        <v>15.91</v>
      </c>
      <c r="O436" s="12">
        <v>56</v>
      </c>
      <c r="P436" s="97">
        <v>88.6</v>
      </c>
      <c r="Q436" s="12">
        <f t="shared" si="84"/>
        <v>3</v>
      </c>
      <c r="R436" s="12" t="str">
        <f t="shared" si="85"/>
        <v>Đạt</v>
      </c>
      <c r="S436" s="14"/>
      <c r="U436" s="84"/>
    </row>
    <row r="437" spans="1:21" s="95" customFormat="1" hidden="1" x14ac:dyDescent="0.25">
      <c r="A437" s="9" t="s">
        <v>152</v>
      </c>
      <c r="B437" s="13"/>
      <c r="C437" s="1" t="s">
        <v>1000</v>
      </c>
      <c r="D437" s="12">
        <f t="shared" si="93"/>
        <v>56.099999999999994</v>
      </c>
      <c r="E437" s="83">
        <v>43.9</v>
      </c>
      <c r="F437" s="83">
        <v>12.2</v>
      </c>
      <c r="G437" s="12">
        <v>55</v>
      </c>
      <c r="H437" s="12">
        <v>100</v>
      </c>
      <c r="I437" s="12">
        <f t="shared" si="92"/>
        <v>2</v>
      </c>
      <c r="J437" s="12" t="str">
        <f t="shared" si="94"/>
        <v>Đạt</v>
      </c>
      <c r="K437" s="14"/>
      <c r="L437" s="96">
        <f t="shared" si="83"/>
        <v>56.099999999999994</v>
      </c>
      <c r="M437" s="10">
        <v>43.9</v>
      </c>
      <c r="N437" s="10">
        <v>12.2</v>
      </c>
      <c r="O437" s="12">
        <v>55</v>
      </c>
      <c r="P437" s="97">
        <v>87.8</v>
      </c>
      <c r="Q437" s="12">
        <f t="shared" si="84"/>
        <v>3</v>
      </c>
      <c r="R437" s="12" t="str">
        <f t="shared" si="85"/>
        <v>Đạt</v>
      </c>
      <c r="S437" s="14"/>
      <c r="U437" s="84"/>
    </row>
    <row r="438" spans="1:21" s="95" customFormat="1" hidden="1" x14ac:dyDescent="0.25">
      <c r="A438" s="9" t="s">
        <v>153</v>
      </c>
      <c r="B438" s="13"/>
      <c r="C438" s="1" t="s">
        <v>869</v>
      </c>
      <c r="D438" s="12">
        <f t="shared" si="93"/>
        <v>79.59</v>
      </c>
      <c r="E438" s="83">
        <v>55.1</v>
      </c>
      <c r="F438" s="83">
        <v>24.49</v>
      </c>
      <c r="G438" s="12">
        <v>52</v>
      </c>
      <c r="H438" s="12">
        <v>100</v>
      </c>
      <c r="I438" s="12">
        <f t="shared" si="92"/>
        <v>2</v>
      </c>
      <c r="J438" s="12" t="str">
        <f t="shared" si="94"/>
        <v>Đạt</v>
      </c>
      <c r="K438" s="14"/>
      <c r="L438" s="96">
        <f t="shared" si="83"/>
        <v>79.59</v>
      </c>
      <c r="M438" s="10">
        <v>55.1</v>
      </c>
      <c r="N438" s="10">
        <v>24.49</v>
      </c>
      <c r="O438" s="12">
        <v>52</v>
      </c>
      <c r="P438" s="97">
        <v>87.8</v>
      </c>
      <c r="Q438" s="12">
        <f t="shared" si="84"/>
        <v>3</v>
      </c>
      <c r="R438" s="12" t="str">
        <f t="shared" si="85"/>
        <v>Đạt</v>
      </c>
      <c r="S438" s="14"/>
      <c r="U438" s="84"/>
    </row>
    <row r="439" spans="1:21" s="95" customFormat="1" hidden="1" x14ac:dyDescent="0.25">
      <c r="A439" s="9" t="s">
        <v>154</v>
      </c>
      <c r="B439" s="13"/>
      <c r="C439" s="1" t="s">
        <v>1001</v>
      </c>
      <c r="D439" s="12">
        <f t="shared" si="93"/>
        <v>59.13</v>
      </c>
      <c r="E439" s="83">
        <v>39.78</v>
      </c>
      <c r="F439" s="83">
        <v>19.350000000000001</v>
      </c>
      <c r="G439" s="12">
        <v>56</v>
      </c>
      <c r="H439" s="12">
        <v>100</v>
      </c>
      <c r="I439" s="12">
        <f t="shared" si="92"/>
        <v>2</v>
      </c>
      <c r="J439" s="12" t="str">
        <f t="shared" si="94"/>
        <v>Đạt</v>
      </c>
      <c r="K439" s="14"/>
      <c r="L439" s="96">
        <f t="shared" si="83"/>
        <v>59.13</v>
      </c>
      <c r="M439" s="10">
        <v>39.78</v>
      </c>
      <c r="N439" s="10">
        <v>19.350000000000001</v>
      </c>
      <c r="O439" s="12">
        <v>56</v>
      </c>
      <c r="P439" s="97">
        <v>89.2</v>
      </c>
      <c r="Q439" s="12">
        <f t="shared" si="84"/>
        <v>3</v>
      </c>
      <c r="R439" s="12" t="str">
        <f t="shared" si="85"/>
        <v>Đạt</v>
      </c>
      <c r="S439" s="14"/>
      <c r="U439" s="84"/>
    </row>
    <row r="440" spans="1:21" s="95" customFormat="1" hidden="1" x14ac:dyDescent="0.25">
      <c r="A440" s="9" t="s">
        <v>155</v>
      </c>
      <c r="B440" s="13"/>
      <c r="C440" s="1" t="s">
        <v>1002</v>
      </c>
      <c r="D440" s="12">
        <f t="shared" si="93"/>
        <v>60</v>
      </c>
      <c r="E440" s="83">
        <v>32</v>
      </c>
      <c r="F440" s="83">
        <v>28</v>
      </c>
      <c r="G440" s="12">
        <v>54</v>
      </c>
      <c r="H440" s="12">
        <v>100</v>
      </c>
      <c r="I440" s="12">
        <f t="shared" si="92"/>
        <v>2</v>
      </c>
      <c r="J440" s="12" t="str">
        <f t="shared" si="94"/>
        <v>Đạt</v>
      </c>
      <c r="K440" s="14"/>
      <c r="L440" s="96">
        <f t="shared" si="83"/>
        <v>60</v>
      </c>
      <c r="M440" s="10">
        <v>32</v>
      </c>
      <c r="N440" s="10">
        <v>28</v>
      </c>
      <c r="O440" s="12">
        <v>54</v>
      </c>
      <c r="P440" s="97">
        <v>89.3</v>
      </c>
      <c r="Q440" s="12">
        <f t="shared" si="84"/>
        <v>3</v>
      </c>
      <c r="R440" s="12" t="str">
        <f t="shared" si="85"/>
        <v>Đạt</v>
      </c>
      <c r="S440" s="14"/>
      <c r="U440" s="84"/>
    </row>
    <row r="441" spans="1:21" s="95" customFormat="1" hidden="1" x14ac:dyDescent="0.25">
      <c r="A441" s="9" t="s">
        <v>156</v>
      </c>
      <c r="B441" s="13"/>
      <c r="C441" s="1" t="s">
        <v>1003</v>
      </c>
      <c r="D441" s="12">
        <f t="shared" si="93"/>
        <v>67.650000000000006</v>
      </c>
      <c r="E441" s="83">
        <v>48.53</v>
      </c>
      <c r="F441" s="83">
        <v>19.12</v>
      </c>
      <c r="G441" s="12">
        <v>56</v>
      </c>
      <c r="H441" s="12">
        <v>100</v>
      </c>
      <c r="I441" s="12">
        <f t="shared" si="92"/>
        <v>2</v>
      </c>
      <c r="J441" s="12" t="str">
        <f t="shared" si="94"/>
        <v>Đạt</v>
      </c>
      <c r="K441" s="14"/>
      <c r="L441" s="96">
        <f t="shared" si="83"/>
        <v>67.650000000000006</v>
      </c>
      <c r="M441" s="10">
        <v>48.53</v>
      </c>
      <c r="N441" s="10">
        <v>19.12</v>
      </c>
      <c r="O441" s="12">
        <v>56</v>
      </c>
      <c r="P441" s="97">
        <v>88.2</v>
      </c>
      <c r="Q441" s="12">
        <f t="shared" si="84"/>
        <v>3</v>
      </c>
      <c r="R441" s="12" t="str">
        <f t="shared" si="85"/>
        <v>Đạt</v>
      </c>
      <c r="S441" s="14"/>
      <c r="U441" s="84"/>
    </row>
    <row r="442" spans="1:21" s="95" customFormat="1" hidden="1" x14ac:dyDescent="0.25">
      <c r="A442" s="9" t="s">
        <v>157</v>
      </c>
      <c r="B442" s="13"/>
      <c r="C442" s="1" t="s">
        <v>1004</v>
      </c>
      <c r="D442" s="12">
        <f t="shared" si="93"/>
        <v>80.960000000000008</v>
      </c>
      <c r="E442" s="83">
        <v>65.48</v>
      </c>
      <c r="F442" s="83">
        <v>15.48</v>
      </c>
      <c r="G442" s="12">
        <v>20</v>
      </c>
      <c r="H442" s="12">
        <v>64.28</v>
      </c>
      <c r="I442" s="12">
        <f t="shared" si="92"/>
        <v>3</v>
      </c>
      <c r="J442" s="12" t="str">
        <f t="shared" si="94"/>
        <v>Đạt</v>
      </c>
      <c r="K442" s="14"/>
      <c r="L442" s="96">
        <f t="shared" si="83"/>
        <v>80.960000000000008</v>
      </c>
      <c r="M442" s="10">
        <v>65.48</v>
      </c>
      <c r="N442" s="10">
        <v>15.48</v>
      </c>
      <c r="O442" s="12">
        <v>20</v>
      </c>
      <c r="P442" s="97">
        <v>85.7</v>
      </c>
      <c r="Q442" s="12">
        <f t="shared" si="84"/>
        <v>3</v>
      </c>
      <c r="R442" s="12" t="str">
        <f t="shared" si="85"/>
        <v>Đạt</v>
      </c>
      <c r="S442" s="14"/>
      <c r="U442" s="84"/>
    </row>
    <row r="443" spans="1:21" s="95" customFormat="1" hidden="1" x14ac:dyDescent="0.25">
      <c r="A443" s="9" t="s">
        <v>158</v>
      </c>
      <c r="B443" s="13"/>
      <c r="C443" s="1" t="s">
        <v>1005</v>
      </c>
      <c r="D443" s="12">
        <f t="shared" si="93"/>
        <v>3</v>
      </c>
      <c r="E443" s="83">
        <v>1.8</v>
      </c>
      <c r="F443" s="83">
        <v>1.2</v>
      </c>
      <c r="G443" s="12">
        <v>100</v>
      </c>
      <c r="H443" s="12">
        <v>100</v>
      </c>
      <c r="I443" s="12">
        <f t="shared" si="92"/>
        <v>0</v>
      </c>
      <c r="J443" s="12" t="str">
        <f t="shared" si="94"/>
        <v>Không đạt</v>
      </c>
      <c r="K443" s="14"/>
      <c r="L443" s="96">
        <f t="shared" si="83"/>
        <v>3</v>
      </c>
      <c r="M443" s="10">
        <v>1.8</v>
      </c>
      <c r="N443" s="10">
        <v>1.2</v>
      </c>
      <c r="O443" s="12">
        <v>100</v>
      </c>
      <c r="P443" s="97">
        <v>100</v>
      </c>
      <c r="Q443" s="12">
        <f t="shared" si="84"/>
        <v>0</v>
      </c>
      <c r="R443" s="12" t="str">
        <f t="shared" si="85"/>
        <v>Không đạt</v>
      </c>
      <c r="S443" s="14"/>
      <c r="U443" s="84"/>
    </row>
    <row r="444" spans="1:21" s="95" customFormat="1" hidden="1" x14ac:dyDescent="0.25">
      <c r="A444" s="9" t="s">
        <v>159</v>
      </c>
      <c r="B444" s="13"/>
      <c r="C444" s="1" t="s">
        <v>1006</v>
      </c>
      <c r="D444" s="12">
        <f t="shared" si="93"/>
        <v>5.17</v>
      </c>
      <c r="E444" s="83">
        <v>1.72</v>
      </c>
      <c r="F444" s="83">
        <v>3.45</v>
      </c>
      <c r="G444" s="12">
        <v>100</v>
      </c>
      <c r="H444" s="12">
        <v>100</v>
      </c>
      <c r="I444" s="12">
        <f t="shared" si="92"/>
        <v>0</v>
      </c>
      <c r="J444" s="12" t="str">
        <f t="shared" si="94"/>
        <v>Không đạt</v>
      </c>
      <c r="K444" s="14"/>
      <c r="L444" s="96">
        <f t="shared" si="83"/>
        <v>5.17</v>
      </c>
      <c r="M444" s="10">
        <v>1.72</v>
      </c>
      <c r="N444" s="10">
        <v>3.45</v>
      </c>
      <c r="O444" s="12">
        <v>100</v>
      </c>
      <c r="P444" s="97">
        <v>100</v>
      </c>
      <c r="Q444" s="12">
        <f t="shared" si="84"/>
        <v>0</v>
      </c>
      <c r="R444" s="12" t="str">
        <f t="shared" si="85"/>
        <v>Không đạt</v>
      </c>
      <c r="S444" s="14"/>
      <c r="U444" s="84"/>
    </row>
    <row r="445" spans="1:21" s="95" customFormat="1" hidden="1" x14ac:dyDescent="0.25">
      <c r="A445" s="9" t="s">
        <v>160</v>
      </c>
      <c r="B445" s="13"/>
      <c r="C445" s="1" t="s">
        <v>1007</v>
      </c>
      <c r="D445" s="12">
        <f t="shared" si="93"/>
        <v>4.88</v>
      </c>
      <c r="E445" s="83">
        <v>0.61</v>
      </c>
      <c r="F445" s="83">
        <v>4.2699999999999996</v>
      </c>
      <c r="G445" s="12">
        <v>100</v>
      </c>
      <c r="H445" s="12">
        <v>100</v>
      </c>
      <c r="I445" s="12">
        <f t="shared" si="92"/>
        <v>0</v>
      </c>
      <c r="J445" s="12" t="str">
        <f t="shared" si="94"/>
        <v>Không đạt</v>
      </c>
      <c r="K445" s="14"/>
      <c r="L445" s="96">
        <f t="shared" si="83"/>
        <v>4.88</v>
      </c>
      <c r="M445" s="10">
        <v>0.61</v>
      </c>
      <c r="N445" s="10">
        <v>4.2699999999999996</v>
      </c>
      <c r="O445" s="12">
        <v>100</v>
      </c>
      <c r="P445" s="97">
        <v>100</v>
      </c>
      <c r="Q445" s="12">
        <f t="shared" si="84"/>
        <v>0</v>
      </c>
      <c r="R445" s="12" t="str">
        <f t="shared" si="85"/>
        <v>Không đạt</v>
      </c>
      <c r="S445" s="14"/>
      <c r="U445" s="84"/>
    </row>
    <row r="446" spans="1:21" s="95" customFormat="1" hidden="1" x14ac:dyDescent="0.25">
      <c r="A446" s="9" t="s">
        <v>161</v>
      </c>
      <c r="B446" s="13"/>
      <c r="C446" s="1" t="s">
        <v>1008</v>
      </c>
      <c r="D446" s="12">
        <f t="shared" si="93"/>
        <v>7.1</v>
      </c>
      <c r="E446" s="83">
        <v>2.58</v>
      </c>
      <c r="F446" s="83">
        <v>4.5199999999999996</v>
      </c>
      <c r="G446" s="12">
        <v>100</v>
      </c>
      <c r="H446" s="12">
        <v>100</v>
      </c>
      <c r="I446" s="12">
        <f t="shared" si="92"/>
        <v>0</v>
      </c>
      <c r="J446" s="12" t="str">
        <f t="shared" si="94"/>
        <v>Không đạt</v>
      </c>
      <c r="K446" s="14"/>
      <c r="L446" s="96">
        <f t="shared" si="83"/>
        <v>7.1</v>
      </c>
      <c r="M446" s="10">
        <v>2.58</v>
      </c>
      <c r="N446" s="10">
        <v>4.5199999999999996</v>
      </c>
      <c r="O446" s="12">
        <v>100</v>
      </c>
      <c r="P446" s="97">
        <v>100</v>
      </c>
      <c r="Q446" s="12">
        <f t="shared" si="84"/>
        <v>0</v>
      </c>
      <c r="R446" s="12" t="str">
        <f t="shared" si="85"/>
        <v>Không đạt</v>
      </c>
      <c r="S446" s="14"/>
      <c r="U446" s="84"/>
    </row>
    <row r="447" spans="1:21" s="95" customFormat="1" hidden="1" x14ac:dyDescent="0.25">
      <c r="A447" s="9" t="s">
        <v>162</v>
      </c>
      <c r="B447" s="13"/>
      <c r="C447" s="1" t="s">
        <v>1009</v>
      </c>
      <c r="D447" s="12">
        <f t="shared" si="93"/>
        <v>16.55</v>
      </c>
      <c r="E447" s="83">
        <v>1.44</v>
      </c>
      <c r="F447" s="83">
        <v>15.11</v>
      </c>
      <c r="G447" s="12">
        <v>100</v>
      </c>
      <c r="H447" s="12">
        <v>100</v>
      </c>
      <c r="I447" s="12">
        <f t="shared" si="92"/>
        <v>1</v>
      </c>
      <c r="J447" s="12" t="str">
        <f t="shared" si="94"/>
        <v>Không đạt</v>
      </c>
      <c r="K447" s="14"/>
      <c r="L447" s="96">
        <f t="shared" si="83"/>
        <v>16.55</v>
      </c>
      <c r="M447" s="10">
        <v>1.44</v>
      </c>
      <c r="N447" s="10">
        <v>15.11</v>
      </c>
      <c r="O447" s="12">
        <v>100</v>
      </c>
      <c r="P447" s="97">
        <v>100</v>
      </c>
      <c r="Q447" s="12">
        <f t="shared" si="84"/>
        <v>1</v>
      </c>
      <c r="R447" s="12" t="str">
        <f t="shared" si="85"/>
        <v>Không đạt</v>
      </c>
      <c r="S447" s="14"/>
      <c r="U447" s="84"/>
    </row>
    <row r="448" spans="1:21" s="95" customFormat="1" hidden="1" x14ac:dyDescent="0.25">
      <c r="A448" s="9" t="s">
        <v>163</v>
      </c>
      <c r="B448" s="13"/>
      <c r="C448" s="1" t="s">
        <v>1010</v>
      </c>
      <c r="D448" s="12">
        <f t="shared" si="93"/>
        <v>3.85</v>
      </c>
      <c r="E448" s="83">
        <v>0</v>
      </c>
      <c r="F448" s="83">
        <v>3.85</v>
      </c>
      <c r="G448" s="12">
        <v>100</v>
      </c>
      <c r="H448" s="12">
        <v>100</v>
      </c>
      <c r="I448" s="12">
        <f t="shared" si="92"/>
        <v>0</v>
      </c>
      <c r="J448" s="12" t="str">
        <f t="shared" si="94"/>
        <v>Không đạt</v>
      </c>
      <c r="K448" s="14"/>
      <c r="L448" s="96">
        <f t="shared" si="83"/>
        <v>3.85</v>
      </c>
      <c r="M448" s="10">
        <v>0</v>
      </c>
      <c r="N448" s="10">
        <v>3.85</v>
      </c>
      <c r="O448" s="12">
        <v>100</v>
      </c>
      <c r="P448" s="97">
        <v>100</v>
      </c>
      <c r="Q448" s="12">
        <f t="shared" si="84"/>
        <v>0</v>
      </c>
      <c r="R448" s="12" t="str">
        <f t="shared" si="85"/>
        <v>Không đạt</v>
      </c>
      <c r="S448" s="14"/>
      <c r="U448" s="84"/>
    </row>
    <row r="449" spans="1:21" s="95" customFormat="1" hidden="1" x14ac:dyDescent="0.25">
      <c r="A449" s="9" t="s">
        <v>164</v>
      </c>
      <c r="B449" s="13"/>
      <c r="C449" s="1" t="s">
        <v>933</v>
      </c>
      <c r="D449" s="12">
        <f t="shared" si="93"/>
        <v>0.94</v>
      </c>
      <c r="E449" s="83">
        <v>0.47</v>
      </c>
      <c r="F449" s="83">
        <v>0.47</v>
      </c>
      <c r="G449" s="12">
        <v>100</v>
      </c>
      <c r="H449" s="12">
        <v>100</v>
      </c>
      <c r="I449" s="12">
        <f t="shared" si="92"/>
        <v>0</v>
      </c>
      <c r="J449" s="12" t="str">
        <f t="shared" si="94"/>
        <v>Không đạt</v>
      </c>
      <c r="K449" s="14"/>
      <c r="L449" s="96">
        <f t="shared" si="83"/>
        <v>0.94</v>
      </c>
      <c r="M449" s="10">
        <v>0.47</v>
      </c>
      <c r="N449" s="10">
        <v>0.47</v>
      </c>
      <c r="O449" s="12">
        <v>100</v>
      </c>
      <c r="P449" s="97">
        <v>100</v>
      </c>
      <c r="Q449" s="12">
        <f t="shared" si="84"/>
        <v>0</v>
      </c>
      <c r="R449" s="12" t="str">
        <f t="shared" si="85"/>
        <v>Không đạt</v>
      </c>
      <c r="S449" s="14"/>
      <c r="U449" s="84"/>
    </row>
    <row r="450" spans="1:21" s="95" customFormat="1" hidden="1" x14ac:dyDescent="0.25">
      <c r="A450" s="9" t="s">
        <v>165</v>
      </c>
      <c r="B450" s="13"/>
      <c r="C450" s="1" t="s">
        <v>1011</v>
      </c>
      <c r="D450" s="12">
        <f t="shared" si="93"/>
        <v>9.89</v>
      </c>
      <c r="E450" s="83">
        <v>2.2000000000000002</v>
      </c>
      <c r="F450" s="83">
        <v>7.69</v>
      </c>
      <c r="G450" s="12">
        <v>100</v>
      </c>
      <c r="H450" s="12">
        <v>100</v>
      </c>
      <c r="I450" s="12">
        <f t="shared" si="92"/>
        <v>0</v>
      </c>
      <c r="J450" s="12" t="str">
        <f t="shared" si="94"/>
        <v>Không đạt</v>
      </c>
      <c r="K450" s="14"/>
      <c r="L450" s="96">
        <f t="shared" si="83"/>
        <v>9.89</v>
      </c>
      <c r="M450" s="10">
        <v>2.2000000000000002</v>
      </c>
      <c r="N450" s="10">
        <v>7.69</v>
      </c>
      <c r="O450" s="12">
        <v>100</v>
      </c>
      <c r="P450" s="97">
        <v>89</v>
      </c>
      <c r="Q450" s="12">
        <f t="shared" si="84"/>
        <v>1</v>
      </c>
      <c r="R450" s="12" t="str">
        <f t="shared" si="85"/>
        <v>Không đạt</v>
      </c>
      <c r="S450" s="14"/>
      <c r="U450" s="84"/>
    </row>
    <row r="451" spans="1:21" s="95" customFormat="1" hidden="1" x14ac:dyDescent="0.25">
      <c r="A451" s="9" t="s">
        <v>166</v>
      </c>
      <c r="B451" s="13"/>
      <c r="C451" s="1" t="s">
        <v>1012</v>
      </c>
      <c r="D451" s="12">
        <f t="shared" si="93"/>
        <v>3.3000000000000003</v>
      </c>
      <c r="E451" s="83">
        <v>1.1000000000000001</v>
      </c>
      <c r="F451" s="83">
        <v>2.2000000000000002</v>
      </c>
      <c r="G451" s="12">
        <v>100</v>
      </c>
      <c r="H451" s="12">
        <v>100</v>
      </c>
      <c r="I451" s="12">
        <f t="shared" si="92"/>
        <v>0</v>
      </c>
      <c r="J451" s="12" t="str">
        <f t="shared" si="94"/>
        <v>Không đạt</v>
      </c>
      <c r="K451" s="14"/>
      <c r="L451" s="96">
        <f t="shared" si="83"/>
        <v>3.3000000000000003</v>
      </c>
      <c r="M451" s="10">
        <v>1.1000000000000001</v>
      </c>
      <c r="N451" s="10">
        <v>2.2000000000000002</v>
      </c>
      <c r="O451" s="12">
        <v>100</v>
      </c>
      <c r="P451" s="97">
        <v>100</v>
      </c>
      <c r="Q451" s="12">
        <f t="shared" si="84"/>
        <v>0</v>
      </c>
      <c r="R451" s="12" t="str">
        <f t="shared" si="85"/>
        <v>Không đạt</v>
      </c>
      <c r="S451" s="14"/>
      <c r="U451" s="84"/>
    </row>
    <row r="452" spans="1:21" s="95" customFormat="1" hidden="1" x14ac:dyDescent="0.25">
      <c r="A452" s="9" t="s">
        <v>167</v>
      </c>
      <c r="B452" s="13"/>
      <c r="C452" s="1" t="s">
        <v>1013</v>
      </c>
      <c r="D452" s="12">
        <f t="shared" si="93"/>
        <v>2.2799999999999998</v>
      </c>
      <c r="E452" s="83">
        <v>1.1399999999999999</v>
      </c>
      <c r="F452" s="83">
        <v>1.1399999999999999</v>
      </c>
      <c r="G452" s="12">
        <v>100</v>
      </c>
      <c r="H452" s="12">
        <v>100</v>
      </c>
      <c r="I452" s="12">
        <f t="shared" si="92"/>
        <v>0</v>
      </c>
      <c r="J452" s="12" t="str">
        <f t="shared" si="94"/>
        <v>Không đạt</v>
      </c>
      <c r="K452" s="14"/>
      <c r="L452" s="96">
        <f t="shared" si="83"/>
        <v>2.2799999999999998</v>
      </c>
      <c r="M452" s="10">
        <v>1.1399999999999999</v>
      </c>
      <c r="N452" s="10">
        <v>1.1399999999999999</v>
      </c>
      <c r="O452" s="12">
        <v>100</v>
      </c>
      <c r="P452" s="97">
        <v>100</v>
      </c>
      <c r="Q452" s="12">
        <f t="shared" si="84"/>
        <v>0</v>
      </c>
      <c r="R452" s="12" t="str">
        <f t="shared" si="85"/>
        <v>Không đạt</v>
      </c>
      <c r="S452" s="14"/>
      <c r="U452" s="84"/>
    </row>
    <row r="453" spans="1:21" s="95" customFormat="1" hidden="1" x14ac:dyDescent="0.25">
      <c r="A453" s="9" t="s">
        <v>168</v>
      </c>
      <c r="B453" s="13"/>
      <c r="C453" s="1" t="s">
        <v>1014</v>
      </c>
      <c r="D453" s="12">
        <f t="shared" si="93"/>
        <v>2.59</v>
      </c>
      <c r="E453" s="83">
        <v>2.0699999999999998</v>
      </c>
      <c r="F453" s="83">
        <v>0.52</v>
      </c>
      <c r="G453" s="12">
        <v>100</v>
      </c>
      <c r="H453" s="12">
        <v>100</v>
      </c>
      <c r="I453" s="12">
        <f t="shared" si="92"/>
        <v>0</v>
      </c>
      <c r="J453" s="12" t="str">
        <f t="shared" si="94"/>
        <v>Không đạt</v>
      </c>
      <c r="K453" s="14"/>
      <c r="L453" s="96">
        <f t="shared" si="83"/>
        <v>2.59</v>
      </c>
      <c r="M453" s="10">
        <v>2.0699999999999998</v>
      </c>
      <c r="N453" s="10">
        <v>0.52</v>
      </c>
      <c r="O453" s="12">
        <v>100</v>
      </c>
      <c r="P453" s="97">
        <v>100</v>
      </c>
      <c r="Q453" s="12">
        <f t="shared" si="84"/>
        <v>0</v>
      </c>
      <c r="R453" s="12" t="str">
        <f t="shared" si="85"/>
        <v>Không đạt</v>
      </c>
      <c r="S453" s="14"/>
      <c r="U453" s="84"/>
    </row>
    <row r="454" spans="1:21" s="95" customFormat="1" hidden="1" x14ac:dyDescent="0.25">
      <c r="A454" s="9" t="s">
        <v>169</v>
      </c>
      <c r="B454" s="13"/>
      <c r="C454" s="1" t="s">
        <v>1015</v>
      </c>
      <c r="D454" s="12">
        <f t="shared" si="93"/>
        <v>4.08</v>
      </c>
      <c r="E454" s="83">
        <v>0</v>
      </c>
      <c r="F454" s="83">
        <v>4.08</v>
      </c>
      <c r="G454" s="12">
        <v>100</v>
      </c>
      <c r="H454" s="12">
        <v>100</v>
      </c>
      <c r="I454" s="12">
        <f t="shared" si="92"/>
        <v>0</v>
      </c>
      <c r="J454" s="12" t="str">
        <f t="shared" si="94"/>
        <v>Không đạt</v>
      </c>
      <c r="K454" s="14"/>
      <c r="L454" s="96">
        <f t="shared" si="83"/>
        <v>4.08</v>
      </c>
      <c r="M454" s="10">
        <v>0</v>
      </c>
      <c r="N454" s="10">
        <v>4.08</v>
      </c>
      <c r="O454" s="12">
        <v>100</v>
      </c>
      <c r="P454" s="97">
        <v>100</v>
      </c>
      <c r="Q454" s="12">
        <f t="shared" si="84"/>
        <v>0</v>
      </c>
      <c r="R454" s="12" t="str">
        <f t="shared" si="85"/>
        <v>Không đạt</v>
      </c>
      <c r="S454" s="14"/>
      <c r="U454" s="84"/>
    </row>
    <row r="455" spans="1:21" s="95" customFormat="1" hidden="1" x14ac:dyDescent="0.25">
      <c r="A455" s="9" t="s">
        <v>170</v>
      </c>
      <c r="B455" s="13"/>
      <c r="C455" s="1" t="s">
        <v>326</v>
      </c>
      <c r="D455" s="12">
        <f t="shared" si="93"/>
        <v>12.399999999999999</v>
      </c>
      <c r="E455" s="83">
        <v>3.3</v>
      </c>
      <c r="F455" s="83">
        <v>9.1</v>
      </c>
      <c r="G455" s="12">
        <v>95</v>
      </c>
      <c r="H455" s="12">
        <v>100</v>
      </c>
      <c r="I455" s="12">
        <f t="shared" si="92"/>
        <v>0</v>
      </c>
      <c r="J455" s="12" t="str">
        <f t="shared" si="94"/>
        <v>Không đạt</v>
      </c>
      <c r="K455" s="14"/>
      <c r="L455" s="96">
        <f t="shared" si="83"/>
        <v>12.399999999999999</v>
      </c>
      <c r="M455" s="10">
        <v>3.3</v>
      </c>
      <c r="N455" s="10">
        <v>9.1</v>
      </c>
      <c r="O455" s="12">
        <v>95</v>
      </c>
      <c r="P455" s="97">
        <v>100</v>
      </c>
      <c r="Q455" s="12">
        <f t="shared" si="84"/>
        <v>0</v>
      </c>
      <c r="R455" s="12" t="str">
        <f t="shared" si="85"/>
        <v>Không đạt</v>
      </c>
      <c r="S455" s="14"/>
      <c r="U455" s="84"/>
    </row>
    <row r="456" spans="1:21" s="95" customFormat="1" hidden="1" x14ac:dyDescent="0.25">
      <c r="A456" s="9" t="s">
        <v>171</v>
      </c>
      <c r="B456" s="13"/>
      <c r="C456" s="1" t="s">
        <v>327</v>
      </c>
      <c r="D456" s="12">
        <f t="shared" si="93"/>
        <v>8.6999999999999993</v>
      </c>
      <c r="E456" s="83">
        <v>0</v>
      </c>
      <c r="F456" s="83">
        <v>8.6999999999999993</v>
      </c>
      <c r="G456" s="12">
        <v>95</v>
      </c>
      <c r="H456" s="12">
        <v>100</v>
      </c>
      <c r="I456" s="12">
        <f t="shared" si="92"/>
        <v>0</v>
      </c>
      <c r="J456" s="12" t="str">
        <f t="shared" si="94"/>
        <v>Không đạt</v>
      </c>
      <c r="K456" s="14"/>
      <c r="L456" s="96">
        <f t="shared" si="83"/>
        <v>8.6999999999999993</v>
      </c>
      <c r="M456" s="10">
        <v>0</v>
      </c>
      <c r="N456" s="10">
        <v>8.6999999999999993</v>
      </c>
      <c r="O456" s="12">
        <v>95</v>
      </c>
      <c r="P456" s="97">
        <v>100</v>
      </c>
      <c r="Q456" s="12">
        <f t="shared" si="84"/>
        <v>0</v>
      </c>
      <c r="R456" s="12" t="str">
        <f t="shared" si="85"/>
        <v>Không đạt</v>
      </c>
      <c r="S456" s="14"/>
      <c r="U456" s="84"/>
    </row>
    <row r="457" spans="1:21" s="95" customFormat="1" hidden="1" x14ac:dyDescent="0.25">
      <c r="A457" s="9" t="s">
        <v>172</v>
      </c>
      <c r="B457" s="13"/>
      <c r="C457" s="1" t="s">
        <v>328</v>
      </c>
      <c r="D457" s="12">
        <f t="shared" si="93"/>
        <v>27.4</v>
      </c>
      <c r="E457" s="83">
        <v>7.1</v>
      </c>
      <c r="F457" s="83">
        <v>20.3</v>
      </c>
      <c r="G457" s="12">
        <v>100</v>
      </c>
      <c r="H457" s="12">
        <v>100</v>
      </c>
      <c r="I457" s="12">
        <f t="shared" si="92"/>
        <v>1</v>
      </c>
      <c r="J457" s="12" t="str">
        <f t="shared" si="94"/>
        <v>Không đạt</v>
      </c>
      <c r="K457" s="14"/>
      <c r="L457" s="96">
        <f t="shared" si="83"/>
        <v>27.4</v>
      </c>
      <c r="M457" s="10">
        <v>7.1</v>
      </c>
      <c r="N457" s="10">
        <v>20.3</v>
      </c>
      <c r="O457" s="12">
        <v>100</v>
      </c>
      <c r="P457" s="97">
        <v>100</v>
      </c>
      <c r="Q457" s="12">
        <f t="shared" si="84"/>
        <v>1</v>
      </c>
      <c r="R457" s="12" t="str">
        <f t="shared" si="85"/>
        <v>Không đạt</v>
      </c>
      <c r="S457" s="14"/>
      <c r="U457" s="84"/>
    </row>
    <row r="458" spans="1:21" s="95" customFormat="1" hidden="1" x14ac:dyDescent="0.25">
      <c r="A458" s="9" t="s">
        <v>173</v>
      </c>
      <c r="B458" s="13"/>
      <c r="C458" s="1" t="s">
        <v>329</v>
      </c>
      <c r="D458" s="12">
        <f t="shared" si="93"/>
        <v>46.1</v>
      </c>
      <c r="E458" s="83">
        <v>15.9</v>
      </c>
      <c r="F458" s="83">
        <v>30.2</v>
      </c>
      <c r="G458" s="12">
        <v>100</v>
      </c>
      <c r="H458" s="12">
        <v>100</v>
      </c>
      <c r="I458" s="12">
        <f t="shared" si="92"/>
        <v>1</v>
      </c>
      <c r="J458" s="12" t="str">
        <f t="shared" si="94"/>
        <v>Không đạt</v>
      </c>
      <c r="K458" s="14"/>
      <c r="L458" s="96">
        <f t="shared" si="83"/>
        <v>46.1</v>
      </c>
      <c r="M458" s="10">
        <v>15.9</v>
      </c>
      <c r="N458" s="10">
        <v>30.2</v>
      </c>
      <c r="O458" s="12">
        <v>100</v>
      </c>
      <c r="P458" s="97">
        <v>100</v>
      </c>
      <c r="Q458" s="12">
        <f t="shared" si="84"/>
        <v>1</v>
      </c>
      <c r="R458" s="12" t="str">
        <f t="shared" si="85"/>
        <v>Không đạt</v>
      </c>
      <c r="S458" s="14"/>
      <c r="U458" s="84"/>
    </row>
    <row r="459" spans="1:21" s="95" customFormat="1" hidden="1" x14ac:dyDescent="0.25">
      <c r="A459" s="9" t="s">
        <v>174</v>
      </c>
      <c r="B459" s="13"/>
      <c r="C459" s="1" t="s">
        <v>330</v>
      </c>
      <c r="D459" s="12">
        <f t="shared" si="93"/>
        <v>67.599999999999994</v>
      </c>
      <c r="E459" s="83">
        <v>27.6</v>
      </c>
      <c r="F459" s="83">
        <v>40</v>
      </c>
      <c r="G459" s="12">
        <v>100</v>
      </c>
      <c r="H459" s="12">
        <v>100</v>
      </c>
      <c r="I459" s="12">
        <f t="shared" si="92"/>
        <v>1</v>
      </c>
      <c r="J459" s="12" t="str">
        <f t="shared" si="94"/>
        <v>Không đạt</v>
      </c>
      <c r="K459" s="14"/>
      <c r="L459" s="96">
        <f t="shared" si="83"/>
        <v>67.599999999999994</v>
      </c>
      <c r="M459" s="10">
        <v>27.6</v>
      </c>
      <c r="N459" s="10">
        <v>40</v>
      </c>
      <c r="O459" s="12">
        <v>100</v>
      </c>
      <c r="P459" s="97">
        <v>100</v>
      </c>
      <c r="Q459" s="12">
        <f t="shared" si="84"/>
        <v>1</v>
      </c>
      <c r="R459" s="12" t="str">
        <f t="shared" si="85"/>
        <v>Không đạt</v>
      </c>
      <c r="S459" s="14"/>
      <c r="U459" s="84"/>
    </row>
    <row r="460" spans="1:21" s="95" customFormat="1" hidden="1" x14ac:dyDescent="0.25">
      <c r="A460" s="9" t="s">
        <v>175</v>
      </c>
      <c r="B460" s="13"/>
      <c r="C460" s="1" t="s">
        <v>1148</v>
      </c>
      <c r="D460" s="12">
        <f t="shared" si="93"/>
        <v>44.2</v>
      </c>
      <c r="E460" s="83">
        <v>9.6</v>
      </c>
      <c r="F460" s="83">
        <v>34.6</v>
      </c>
      <c r="G460" s="12">
        <v>100</v>
      </c>
      <c r="H460" s="12">
        <v>100</v>
      </c>
      <c r="I460" s="12">
        <f t="shared" si="92"/>
        <v>1</v>
      </c>
      <c r="J460" s="12" t="str">
        <f t="shared" si="94"/>
        <v>Không đạt</v>
      </c>
      <c r="K460" s="14"/>
      <c r="L460" s="96">
        <f t="shared" si="83"/>
        <v>44.2</v>
      </c>
      <c r="M460" s="10">
        <v>9.6</v>
      </c>
      <c r="N460" s="10">
        <v>34.6</v>
      </c>
      <c r="O460" s="12">
        <v>100</v>
      </c>
      <c r="P460" s="97">
        <v>100</v>
      </c>
      <c r="Q460" s="12">
        <f t="shared" si="84"/>
        <v>1</v>
      </c>
      <c r="R460" s="12" t="str">
        <f t="shared" si="85"/>
        <v>Không đạt</v>
      </c>
      <c r="S460" s="14"/>
      <c r="U460" s="84"/>
    </row>
    <row r="461" spans="1:21" s="95" customFormat="1" hidden="1" x14ac:dyDescent="0.25">
      <c r="A461" s="9" t="s">
        <v>176</v>
      </c>
      <c r="B461" s="13"/>
      <c r="C461" s="1" t="s">
        <v>1016</v>
      </c>
      <c r="D461" s="12">
        <f t="shared" si="93"/>
        <v>7.83</v>
      </c>
      <c r="E461" s="83">
        <v>1.74</v>
      </c>
      <c r="F461" s="83">
        <v>6.09</v>
      </c>
      <c r="G461" s="12">
        <v>100</v>
      </c>
      <c r="H461" s="12">
        <v>100</v>
      </c>
      <c r="I461" s="12">
        <f t="shared" si="92"/>
        <v>0</v>
      </c>
      <c r="J461" s="12" t="str">
        <f t="shared" si="94"/>
        <v>Không đạt</v>
      </c>
      <c r="K461" s="14"/>
      <c r="L461" s="96">
        <f t="shared" si="83"/>
        <v>7.83</v>
      </c>
      <c r="M461" s="10">
        <v>1.74</v>
      </c>
      <c r="N461" s="10">
        <v>6.09</v>
      </c>
      <c r="O461" s="12">
        <v>100</v>
      </c>
      <c r="P461" s="97">
        <v>100</v>
      </c>
      <c r="Q461" s="12">
        <f t="shared" si="84"/>
        <v>0</v>
      </c>
      <c r="R461" s="12" t="str">
        <f t="shared" si="85"/>
        <v>Không đạt</v>
      </c>
      <c r="S461" s="14"/>
      <c r="U461" s="84"/>
    </row>
    <row r="462" spans="1:21" s="95" customFormat="1" hidden="1" x14ac:dyDescent="0.25">
      <c r="A462" s="9" t="s">
        <v>177</v>
      </c>
      <c r="B462" s="13"/>
      <c r="C462" s="1" t="s">
        <v>1017</v>
      </c>
      <c r="D462" s="12">
        <f t="shared" si="93"/>
        <v>8.34</v>
      </c>
      <c r="E462" s="83">
        <v>4.17</v>
      </c>
      <c r="F462" s="83">
        <v>4.17</v>
      </c>
      <c r="G462" s="12">
        <v>100</v>
      </c>
      <c r="H462" s="12">
        <v>100</v>
      </c>
      <c r="I462" s="12">
        <f t="shared" si="92"/>
        <v>0</v>
      </c>
      <c r="J462" s="12" t="str">
        <f t="shared" si="94"/>
        <v>Không đạt</v>
      </c>
      <c r="K462" s="14"/>
      <c r="L462" s="96">
        <f t="shared" si="83"/>
        <v>8.34</v>
      </c>
      <c r="M462" s="10">
        <v>4.17</v>
      </c>
      <c r="N462" s="10">
        <v>4.17</v>
      </c>
      <c r="O462" s="12">
        <v>100</v>
      </c>
      <c r="P462" s="97">
        <v>100</v>
      </c>
      <c r="Q462" s="12">
        <f t="shared" si="84"/>
        <v>0</v>
      </c>
      <c r="R462" s="12" t="str">
        <f t="shared" si="85"/>
        <v>Không đạt</v>
      </c>
      <c r="S462" s="14"/>
      <c r="U462" s="84"/>
    </row>
    <row r="463" spans="1:21" s="95" customFormat="1" hidden="1" x14ac:dyDescent="0.25">
      <c r="A463" s="9" t="s">
        <v>178</v>
      </c>
      <c r="B463" s="13"/>
      <c r="C463" s="1" t="s">
        <v>1018</v>
      </c>
      <c r="D463" s="12">
        <f t="shared" si="93"/>
        <v>10.49</v>
      </c>
      <c r="E463" s="83">
        <v>3.7</v>
      </c>
      <c r="F463" s="83">
        <v>6.79</v>
      </c>
      <c r="G463" s="12">
        <v>100</v>
      </c>
      <c r="H463" s="12">
        <v>100</v>
      </c>
      <c r="I463" s="12">
        <f t="shared" si="92"/>
        <v>0</v>
      </c>
      <c r="J463" s="12" t="str">
        <f t="shared" si="94"/>
        <v>Không đạt</v>
      </c>
      <c r="K463" s="14"/>
      <c r="L463" s="96">
        <f t="shared" ref="L463:L511" si="95">M463+N463</f>
        <v>10.49</v>
      </c>
      <c r="M463" s="10">
        <v>3.7</v>
      </c>
      <c r="N463" s="10">
        <v>6.79</v>
      </c>
      <c r="O463" s="12">
        <v>100</v>
      </c>
      <c r="P463" s="97">
        <v>100</v>
      </c>
      <c r="Q463" s="12">
        <f t="shared" ref="Q463:Q511" si="96">SUM((IF(L463&gt;=16.24,1,0))+(IF(O463&lt;60,1,0))+(IF(P463&lt;90,1,0)))</f>
        <v>0</v>
      </c>
      <c r="R463" s="12" t="str">
        <f t="shared" ref="R463:R511" si="97">IF(Q463&gt;=2,"Đạt","Không đạt")</f>
        <v>Không đạt</v>
      </c>
      <c r="S463" s="14"/>
      <c r="U463" s="84"/>
    </row>
    <row r="464" spans="1:21" s="95" customFormat="1" hidden="1" x14ac:dyDescent="0.25">
      <c r="A464" s="9" t="s">
        <v>179</v>
      </c>
      <c r="B464" s="13"/>
      <c r="C464" s="1" t="s">
        <v>1019</v>
      </c>
      <c r="D464" s="12">
        <f t="shared" si="93"/>
        <v>94.940000000000012</v>
      </c>
      <c r="E464" s="83">
        <v>4.04</v>
      </c>
      <c r="F464" s="83">
        <v>90.9</v>
      </c>
      <c r="G464" s="12">
        <v>100</v>
      </c>
      <c r="H464" s="12">
        <v>100</v>
      </c>
      <c r="I464" s="12">
        <f t="shared" si="92"/>
        <v>1</v>
      </c>
      <c r="J464" s="12" t="str">
        <f t="shared" si="94"/>
        <v>Không đạt</v>
      </c>
      <c r="K464" s="14"/>
      <c r="L464" s="96">
        <f t="shared" si="95"/>
        <v>94.940000000000012</v>
      </c>
      <c r="M464" s="10">
        <v>4.04</v>
      </c>
      <c r="N464" s="10">
        <v>90.9</v>
      </c>
      <c r="O464" s="12">
        <v>100</v>
      </c>
      <c r="P464" s="97">
        <v>100</v>
      </c>
      <c r="Q464" s="12">
        <f t="shared" si="96"/>
        <v>1</v>
      </c>
      <c r="R464" s="12" t="str">
        <f t="shared" si="97"/>
        <v>Không đạt</v>
      </c>
      <c r="S464" s="14"/>
      <c r="U464" s="84"/>
    </row>
    <row r="465" spans="1:21" s="95" customFormat="1" hidden="1" x14ac:dyDescent="0.25">
      <c r="A465" s="9" t="s">
        <v>180</v>
      </c>
      <c r="B465" s="13"/>
      <c r="C465" s="1" t="s">
        <v>1020</v>
      </c>
      <c r="D465" s="12">
        <f t="shared" si="93"/>
        <v>4.0500000000000007</v>
      </c>
      <c r="E465" s="83">
        <v>1.35</v>
      </c>
      <c r="F465" s="83">
        <v>2.7</v>
      </c>
      <c r="G465" s="12">
        <v>95</v>
      </c>
      <c r="H465" s="12">
        <v>100</v>
      </c>
      <c r="I465" s="12">
        <f t="shared" si="92"/>
        <v>0</v>
      </c>
      <c r="J465" s="12" t="str">
        <f t="shared" si="94"/>
        <v>Không đạt</v>
      </c>
      <c r="K465" s="14"/>
      <c r="L465" s="96">
        <f t="shared" si="95"/>
        <v>4.0500000000000007</v>
      </c>
      <c r="M465" s="10">
        <v>1.35</v>
      </c>
      <c r="N465" s="10">
        <v>2.7</v>
      </c>
      <c r="O465" s="12">
        <v>95</v>
      </c>
      <c r="P465" s="97">
        <v>100</v>
      </c>
      <c r="Q465" s="12">
        <f t="shared" si="96"/>
        <v>0</v>
      </c>
      <c r="R465" s="12" t="str">
        <f t="shared" si="97"/>
        <v>Không đạt</v>
      </c>
      <c r="S465" s="14"/>
      <c r="U465" s="84"/>
    </row>
    <row r="466" spans="1:21" s="95" customFormat="1" hidden="1" x14ac:dyDescent="0.25">
      <c r="A466" s="9" t="s">
        <v>181</v>
      </c>
      <c r="B466" s="13"/>
      <c r="C466" s="1" t="s">
        <v>1021</v>
      </c>
      <c r="D466" s="12">
        <f t="shared" si="93"/>
        <v>13.85</v>
      </c>
      <c r="E466" s="83">
        <v>3.08</v>
      </c>
      <c r="F466" s="83">
        <v>10.77</v>
      </c>
      <c r="G466" s="12">
        <v>100</v>
      </c>
      <c r="H466" s="12">
        <v>100</v>
      </c>
      <c r="I466" s="12">
        <f t="shared" si="92"/>
        <v>0</v>
      </c>
      <c r="J466" s="12" t="str">
        <f t="shared" si="94"/>
        <v>Không đạt</v>
      </c>
      <c r="K466" s="14"/>
      <c r="L466" s="96">
        <f t="shared" si="95"/>
        <v>13.85</v>
      </c>
      <c r="M466" s="10">
        <v>3.08</v>
      </c>
      <c r="N466" s="10">
        <v>10.77</v>
      </c>
      <c r="O466" s="12">
        <v>100</v>
      </c>
      <c r="P466" s="97">
        <v>100</v>
      </c>
      <c r="Q466" s="12">
        <f t="shared" si="96"/>
        <v>0</v>
      </c>
      <c r="R466" s="12" t="str">
        <f t="shared" si="97"/>
        <v>Không đạt</v>
      </c>
      <c r="S466" s="14"/>
      <c r="U466" s="84"/>
    </row>
    <row r="467" spans="1:21" s="95" customFormat="1" hidden="1" x14ac:dyDescent="0.25">
      <c r="A467" s="9" t="s">
        <v>182</v>
      </c>
      <c r="B467" s="13"/>
      <c r="C467" s="1" t="s">
        <v>1022</v>
      </c>
      <c r="D467" s="12">
        <f t="shared" si="93"/>
        <v>18.329999999999998</v>
      </c>
      <c r="E467" s="83">
        <v>5</v>
      </c>
      <c r="F467" s="83">
        <v>13.33</v>
      </c>
      <c r="G467" s="12">
        <v>100</v>
      </c>
      <c r="H467" s="12">
        <v>100</v>
      </c>
      <c r="I467" s="12">
        <f t="shared" si="92"/>
        <v>1</v>
      </c>
      <c r="J467" s="12" t="str">
        <f t="shared" si="94"/>
        <v>Không đạt</v>
      </c>
      <c r="K467" s="14"/>
      <c r="L467" s="96">
        <f t="shared" si="95"/>
        <v>18.329999999999998</v>
      </c>
      <c r="M467" s="10">
        <v>5</v>
      </c>
      <c r="N467" s="10">
        <v>13.33</v>
      </c>
      <c r="O467" s="12">
        <v>100</v>
      </c>
      <c r="P467" s="97">
        <v>100</v>
      </c>
      <c r="Q467" s="12">
        <f t="shared" si="96"/>
        <v>1</v>
      </c>
      <c r="R467" s="12" t="str">
        <f t="shared" si="97"/>
        <v>Không đạt</v>
      </c>
      <c r="S467" s="14"/>
      <c r="U467" s="84"/>
    </row>
    <row r="468" spans="1:21" s="95" customFormat="1" ht="45" x14ac:dyDescent="0.25">
      <c r="A468" s="9" t="s">
        <v>183</v>
      </c>
      <c r="B468" s="13"/>
      <c r="C468" s="1" t="s">
        <v>1023</v>
      </c>
      <c r="D468" s="12">
        <f t="shared" si="93"/>
        <v>42.87</v>
      </c>
      <c r="E468" s="83">
        <v>14.29</v>
      </c>
      <c r="F468" s="83">
        <v>28.58</v>
      </c>
      <c r="G468" s="12">
        <v>100</v>
      </c>
      <c r="H468" s="12">
        <v>100</v>
      </c>
      <c r="I468" s="12">
        <f t="shared" si="92"/>
        <v>1</v>
      </c>
      <c r="J468" s="12" t="str">
        <f t="shared" si="94"/>
        <v>Không đạt</v>
      </c>
      <c r="K468" s="14"/>
      <c r="L468" s="96">
        <f t="shared" si="95"/>
        <v>42.87</v>
      </c>
      <c r="M468" s="10">
        <v>14.29</v>
      </c>
      <c r="N468" s="10">
        <v>28.58</v>
      </c>
      <c r="O468" s="12">
        <v>100</v>
      </c>
      <c r="P468" s="97">
        <v>87.5</v>
      </c>
      <c r="Q468" s="12">
        <f t="shared" si="96"/>
        <v>2</v>
      </c>
      <c r="R468" s="12" t="str">
        <f t="shared" si="97"/>
        <v>Đạt</v>
      </c>
      <c r="S468" s="10" t="s">
        <v>1190</v>
      </c>
      <c r="U468" s="84"/>
    </row>
    <row r="469" spans="1:21" s="95" customFormat="1" ht="45" x14ac:dyDescent="0.25">
      <c r="A469" s="9" t="s">
        <v>184</v>
      </c>
      <c r="B469" s="13"/>
      <c r="C469" s="1" t="s">
        <v>1024</v>
      </c>
      <c r="D469" s="12">
        <f t="shared" si="93"/>
        <v>18.52</v>
      </c>
      <c r="E469" s="83">
        <v>7.41</v>
      </c>
      <c r="F469" s="83">
        <v>11.11</v>
      </c>
      <c r="G469" s="12">
        <v>100</v>
      </c>
      <c r="H469" s="12">
        <v>100</v>
      </c>
      <c r="I469" s="12">
        <f t="shared" si="92"/>
        <v>1</v>
      </c>
      <c r="J469" s="12" t="str">
        <f t="shared" si="94"/>
        <v>Không đạt</v>
      </c>
      <c r="K469" s="14"/>
      <c r="L469" s="96">
        <f t="shared" si="95"/>
        <v>18.52</v>
      </c>
      <c r="M469" s="10">
        <v>7.41</v>
      </c>
      <c r="N469" s="10">
        <v>11.11</v>
      </c>
      <c r="O469" s="12">
        <v>100</v>
      </c>
      <c r="P469" s="97">
        <v>88.9</v>
      </c>
      <c r="Q469" s="12">
        <f t="shared" si="96"/>
        <v>2</v>
      </c>
      <c r="R469" s="12" t="str">
        <f t="shared" si="97"/>
        <v>Đạt</v>
      </c>
      <c r="S469" s="10" t="s">
        <v>1190</v>
      </c>
      <c r="U469" s="84"/>
    </row>
    <row r="470" spans="1:21" s="95" customFormat="1" hidden="1" x14ac:dyDescent="0.25">
      <c r="A470" s="9" t="s">
        <v>185</v>
      </c>
      <c r="B470" s="13"/>
      <c r="C470" s="1" t="s">
        <v>431</v>
      </c>
      <c r="D470" s="12">
        <f t="shared" si="93"/>
        <v>19.869999999999997</v>
      </c>
      <c r="E470" s="83">
        <v>9</v>
      </c>
      <c r="F470" s="83">
        <v>10.87</v>
      </c>
      <c r="G470" s="12">
        <v>100</v>
      </c>
      <c r="H470" s="12">
        <v>100</v>
      </c>
      <c r="I470" s="12">
        <f t="shared" si="92"/>
        <v>1</v>
      </c>
      <c r="J470" s="12" t="str">
        <f t="shared" si="94"/>
        <v>Không đạt</v>
      </c>
      <c r="K470" s="14"/>
      <c r="L470" s="96">
        <f t="shared" si="95"/>
        <v>19.869999999999997</v>
      </c>
      <c r="M470" s="10">
        <v>9</v>
      </c>
      <c r="N470" s="10">
        <v>10.87</v>
      </c>
      <c r="O470" s="12">
        <v>100</v>
      </c>
      <c r="P470" s="97">
        <v>98.9</v>
      </c>
      <c r="Q470" s="12">
        <f t="shared" si="96"/>
        <v>1</v>
      </c>
      <c r="R470" s="12" t="str">
        <f t="shared" si="97"/>
        <v>Không đạt</v>
      </c>
      <c r="S470" s="14"/>
      <c r="U470" s="84"/>
    </row>
    <row r="471" spans="1:21" s="95" customFormat="1" hidden="1" x14ac:dyDescent="0.25">
      <c r="A471" s="9" t="s">
        <v>186</v>
      </c>
      <c r="B471" s="13"/>
      <c r="C471" s="1" t="s">
        <v>1025</v>
      </c>
      <c r="D471" s="12">
        <f t="shared" si="93"/>
        <v>43.28</v>
      </c>
      <c r="E471" s="83">
        <v>19.399999999999999</v>
      </c>
      <c r="F471" s="83">
        <v>23.88</v>
      </c>
      <c r="G471" s="12">
        <v>100</v>
      </c>
      <c r="H471" s="12">
        <v>100</v>
      </c>
      <c r="I471" s="12">
        <f t="shared" si="92"/>
        <v>1</v>
      </c>
      <c r="J471" s="12" t="str">
        <f t="shared" si="94"/>
        <v>Không đạt</v>
      </c>
      <c r="K471" s="14"/>
      <c r="L471" s="96">
        <f t="shared" si="95"/>
        <v>43.28</v>
      </c>
      <c r="M471" s="10">
        <v>19.399999999999999</v>
      </c>
      <c r="N471" s="10">
        <v>23.88</v>
      </c>
      <c r="O471" s="12">
        <v>100</v>
      </c>
      <c r="P471" s="97">
        <v>91</v>
      </c>
      <c r="Q471" s="12">
        <f t="shared" si="96"/>
        <v>1</v>
      </c>
      <c r="R471" s="12" t="str">
        <f t="shared" si="97"/>
        <v>Không đạt</v>
      </c>
      <c r="S471" s="14"/>
      <c r="U471" s="84"/>
    </row>
    <row r="472" spans="1:21" s="95" customFormat="1" hidden="1" x14ac:dyDescent="0.25">
      <c r="A472" s="9" t="s">
        <v>187</v>
      </c>
      <c r="B472" s="13"/>
      <c r="C472" s="1" t="s">
        <v>1026</v>
      </c>
      <c r="D472" s="12">
        <f t="shared" si="93"/>
        <v>3.14</v>
      </c>
      <c r="E472" s="83">
        <v>0</v>
      </c>
      <c r="F472" s="83">
        <v>3.14</v>
      </c>
      <c r="G472" s="12">
        <v>100</v>
      </c>
      <c r="H472" s="12">
        <v>100</v>
      </c>
      <c r="I472" s="12">
        <f t="shared" si="92"/>
        <v>0</v>
      </c>
      <c r="J472" s="12" t="str">
        <f t="shared" si="94"/>
        <v>Không đạt</v>
      </c>
      <c r="K472" s="14"/>
      <c r="L472" s="96">
        <f t="shared" si="95"/>
        <v>3.14</v>
      </c>
      <c r="M472" s="10">
        <v>0</v>
      </c>
      <c r="N472" s="10">
        <v>3.14</v>
      </c>
      <c r="O472" s="12">
        <v>100</v>
      </c>
      <c r="P472" s="97">
        <v>100</v>
      </c>
      <c r="Q472" s="12">
        <f t="shared" si="96"/>
        <v>0</v>
      </c>
      <c r="R472" s="12" t="str">
        <f t="shared" si="97"/>
        <v>Không đạt</v>
      </c>
      <c r="S472" s="14"/>
      <c r="U472" s="84"/>
    </row>
    <row r="473" spans="1:21" s="95" customFormat="1" hidden="1" x14ac:dyDescent="0.25">
      <c r="A473" s="9" t="s">
        <v>188</v>
      </c>
      <c r="B473" s="13"/>
      <c r="C473" s="1" t="s">
        <v>266</v>
      </c>
      <c r="D473" s="12">
        <f t="shared" si="93"/>
        <v>14.19</v>
      </c>
      <c r="E473" s="83">
        <v>6.17</v>
      </c>
      <c r="F473" s="83">
        <v>8.02</v>
      </c>
      <c r="G473" s="12">
        <v>100</v>
      </c>
      <c r="H473" s="12">
        <v>100</v>
      </c>
      <c r="I473" s="12">
        <f t="shared" si="92"/>
        <v>0</v>
      </c>
      <c r="J473" s="12" t="str">
        <f t="shared" si="94"/>
        <v>Không đạt</v>
      </c>
      <c r="K473" s="14"/>
      <c r="L473" s="96">
        <f t="shared" si="95"/>
        <v>14.19</v>
      </c>
      <c r="M473" s="10">
        <v>6.17</v>
      </c>
      <c r="N473" s="10">
        <v>8.02</v>
      </c>
      <c r="O473" s="12">
        <v>100</v>
      </c>
      <c r="P473" s="97">
        <v>100</v>
      </c>
      <c r="Q473" s="12">
        <f t="shared" si="96"/>
        <v>0</v>
      </c>
      <c r="R473" s="12" t="str">
        <f t="shared" si="97"/>
        <v>Không đạt</v>
      </c>
      <c r="S473" s="14"/>
      <c r="U473" s="84"/>
    </row>
    <row r="474" spans="1:21" s="95" customFormat="1" hidden="1" x14ac:dyDescent="0.25">
      <c r="A474" s="9" t="s">
        <v>189</v>
      </c>
      <c r="B474" s="13"/>
      <c r="C474" s="1" t="s">
        <v>267</v>
      </c>
      <c r="D474" s="12">
        <f t="shared" si="93"/>
        <v>12</v>
      </c>
      <c r="E474" s="83">
        <v>2.29</v>
      </c>
      <c r="F474" s="83">
        <v>9.7100000000000009</v>
      </c>
      <c r="G474" s="12">
        <v>100</v>
      </c>
      <c r="H474" s="12">
        <v>100</v>
      </c>
      <c r="I474" s="12">
        <f t="shared" si="92"/>
        <v>0</v>
      </c>
      <c r="J474" s="12" t="str">
        <f t="shared" si="94"/>
        <v>Không đạt</v>
      </c>
      <c r="K474" s="14"/>
      <c r="L474" s="96">
        <f t="shared" si="95"/>
        <v>12</v>
      </c>
      <c r="M474" s="10">
        <v>2.29</v>
      </c>
      <c r="N474" s="10">
        <v>9.7100000000000009</v>
      </c>
      <c r="O474" s="12">
        <v>100</v>
      </c>
      <c r="P474" s="97">
        <v>100</v>
      </c>
      <c r="Q474" s="12">
        <f t="shared" si="96"/>
        <v>0</v>
      </c>
      <c r="R474" s="12" t="str">
        <f t="shared" si="97"/>
        <v>Không đạt</v>
      </c>
      <c r="S474" s="14"/>
      <c r="U474" s="84"/>
    </row>
    <row r="475" spans="1:21" s="95" customFormat="1" hidden="1" x14ac:dyDescent="0.25">
      <c r="A475" s="9" t="s">
        <v>190</v>
      </c>
      <c r="B475" s="13"/>
      <c r="C475" s="1" t="s">
        <v>268</v>
      </c>
      <c r="D475" s="12">
        <f t="shared" si="93"/>
        <v>6.1800000000000006</v>
      </c>
      <c r="E475" s="83">
        <v>1.95</v>
      </c>
      <c r="F475" s="83">
        <v>4.2300000000000004</v>
      </c>
      <c r="G475" s="12">
        <v>100</v>
      </c>
      <c r="H475" s="12">
        <v>100</v>
      </c>
      <c r="I475" s="12">
        <f t="shared" si="92"/>
        <v>0</v>
      </c>
      <c r="J475" s="12" t="str">
        <f t="shared" si="94"/>
        <v>Không đạt</v>
      </c>
      <c r="K475" s="14"/>
      <c r="L475" s="96">
        <f t="shared" si="95"/>
        <v>6.1800000000000006</v>
      </c>
      <c r="M475" s="10">
        <v>1.95</v>
      </c>
      <c r="N475" s="10">
        <v>4.2300000000000004</v>
      </c>
      <c r="O475" s="12">
        <v>100</v>
      </c>
      <c r="P475" s="97">
        <v>100</v>
      </c>
      <c r="Q475" s="12">
        <f t="shared" si="96"/>
        <v>0</v>
      </c>
      <c r="R475" s="12" t="str">
        <f t="shared" si="97"/>
        <v>Không đạt</v>
      </c>
      <c r="S475" s="14"/>
      <c r="U475" s="84"/>
    </row>
    <row r="476" spans="1:21" s="95" customFormat="1" hidden="1" x14ac:dyDescent="0.25">
      <c r="A476" s="9" t="s">
        <v>191</v>
      </c>
      <c r="B476" s="13"/>
      <c r="C476" s="1" t="s">
        <v>1027</v>
      </c>
      <c r="D476" s="12">
        <f t="shared" si="93"/>
        <v>25.67</v>
      </c>
      <c r="E476" s="83">
        <v>13.51</v>
      </c>
      <c r="F476" s="83">
        <v>12.16</v>
      </c>
      <c r="G476" s="12">
        <v>100</v>
      </c>
      <c r="H476" s="12">
        <v>100</v>
      </c>
      <c r="I476" s="12">
        <f t="shared" si="92"/>
        <v>1</v>
      </c>
      <c r="J476" s="12" t="str">
        <f t="shared" si="94"/>
        <v>Không đạt</v>
      </c>
      <c r="K476" s="14"/>
      <c r="L476" s="96">
        <f t="shared" si="95"/>
        <v>25.67</v>
      </c>
      <c r="M476" s="10">
        <v>13.51</v>
      </c>
      <c r="N476" s="10">
        <v>12.16</v>
      </c>
      <c r="O476" s="12">
        <v>100</v>
      </c>
      <c r="P476" s="97">
        <v>100</v>
      </c>
      <c r="Q476" s="12">
        <f t="shared" si="96"/>
        <v>1</v>
      </c>
      <c r="R476" s="12" t="str">
        <f t="shared" si="97"/>
        <v>Không đạt</v>
      </c>
      <c r="S476" s="14"/>
      <c r="U476" s="84"/>
    </row>
    <row r="477" spans="1:21" s="95" customFormat="1" ht="45" x14ac:dyDescent="0.25">
      <c r="A477" s="9" t="s">
        <v>192</v>
      </c>
      <c r="B477" s="13"/>
      <c r="C477" s="1" t="s">
        <v>1028</v>
      </c>
      <c r="D477" s="12">
        <f t="shared" si="93"/>
        <v>69.290000000000006</v>
      </c>
      <c r="E477" s="83">
        <v>26.77</v>
      </c>
      <c r="F477" s="83">
        <v>42.52</v>
      </c>
      <c r="G477" s="12">
        <v>100</v>
      </c>
      <c r="H477" s="12">
        <v>100</v>
      </c>
      <c r="I477" s="12">
        <f t="shared" si="92"/>
        <v>1</v>
      </c>
      <c r="J477" s="12" t="str">
        <f t="shared" si="94"/>
        <v>Không đạt</v>
      </c>
      <c r="K477" s="14"/>
      <c r="L477" s="96">
        <f t="shared" si="95"/>
        <v>69.290000000000006</v>
      </c>
      <c r="M477" s="10">
        <v>26.77</v>
      </c>
      <c r="N477" s="10">
        <v>42.52</v>
      </c>
      <c r="O477" s="12">
        <v>100</v>
      </c>
      <c r="P477" s="97">
        <v>86.6</v>
      </c>
      <c r="Q477" s="12">
        <f t="shared" si="96"/>
        <v>2</v>
      </c>
      <c r="R477" s="12" t="str">
        <f t="shared" si="97"/>
        <v>Đạt</v>
      </c>
      <c r="S477" s="10" t="s">
        <v>1190</v>
      </c>
      <c r="U477" s="84"/>
    </row>
    <row r="478" spans="1:21" s="95" customFormat="1" ht="45" x14ac:dyDescent="0.25">
      <c r="A478" s="9" t="s">
        <v>193</v>
      </c>
      <c r="B478" s="13"/>
      <c r="C478" s="1" t="s">
        <v>550</v>
      </c>
      <c r="D478" s="12">
        <f t="shared" si="93"/>
        <v>65.69</v>
      </c>
      <c r="E478" s="83">
        <v>49.02</v>
      </c>
      <c r="F478" s="83">
        <v>16.670000000000002</v>
      </c>
      <c r="G478" s="12">
        <v>100</v>
      </c>
      <c r="H478" s="12">
        <v>100</v>
      </c>
      <c r="I478" s="12">
        <f t="shared" si="92"/>
        <v>1</v>
      </c>
      <c r="J478" s="12" t="str">
        <f t="shared" si="94"/>
        <v>Không đạt</v>
      </c>
      <c r="K478" s="14"/>
      <c r="L478" s="96">
        <f t="shared" si="95"/>
        <v>65.69</v>
      </c>
      <c r="M478" s="10">
        <v>49.02</v>
      </c>
      <c r="N478" s="10">
        <v>16.670000000000002</v>
      </c>
      <c r="O478" s="12">
        <v>100</v>
      </c>
      <c r="P478" s="97">
        <v>83.3</v>
      </c>
      <c r="Q478" s="12">
        <f t="shared" si="96"/>
        <v>2</v>
      </c>
      <c r="R478" s="12" t="str">
        <f t="shared" si="97"/>
        <v>Đạt</v>
      </c>
      <c r="S478" s="10" t="s">
        <v>1190</v>
      </c>
      <c r="U478" s="84"/>
    </row>
    <row r="479" spans="1:21" s="95" customFormat="1" hidden="1" x14ac:dyDescent="0.25">
      <c r="A479" s="9" t="s">
        <v>194</v>
      </c>
      <c r="B479" s="13"/>
      <c r="C479" s="1" t="s">
        <v>1029</v>
      </c>
      <c r="D479" s="12">
        <f t="shared" si="93"/>
        <v>8.33</v>
      </c>
      <c r="E479" s="83">
        <v>3.7</v>
      </c>
      <c r="F479" s="83">
        <v>4.63</v>
      </c>
      <c r="G479" s="12">
        <v>100</v>
      </c>
      <c r="H479" s="12">
        <v>100</v>
      </c>
      <c r="I479" s="12">
        <f>SUM((IF(D479&gt;=16.24,1,0))+(IF(G479&lt;60,1,0))+(IF(H479&lt;90,1,0)))</f>
        <v>0</v>
      </c>
      <c r="J479" s="12" t="str">
        <f>IF(I479&gt;=2,"Đạt","Không đạt")</f>
        <v>Không đạt</v>
      </c>
      <c r="K479" s="14"/>
      <c r="L479" s="96">
        <f t="shared" si="95"/>
        <v>8.33</v>
      </c>
      <c r="M479" s="10">
        <v>3.7</v>
      </c>
      <c r="N479" s="10">
        <v>4.63</v>
      </c>
      <c r="O479" s="12">
        <v>100</v>
      </c>
      <c r="P479" s="97">
        <v>88</v>
      </c>
      <c r="Q479" s="12">
        <f t="shared" si="96"/>
        <v>1</v>
      </c>
      <c r="R479" s="12" t="str">
        <f t="shared" si="97"/>
        <v>Không đạt</v>
      </c>
      <c r="S479" s="14"/>
      <c r="U479" s="84"/>
    </row>
    <row r="480" spans="1:21" s="100" customFormat="1" ht="19.5" customHeight="1" x14ac:dyDescent="0.25">
      <c r="A480" s="19" t="s">
        <v>1122</v>
      </c>
      <c r="B480" s="20" t="s">
        <v>128</v>
      </c>
      <c r="C480" s="20"/>
      <c r="D480" s="22"/>
      <c r="E480" s="104"/>
      <c r="F480" s="104"/>
      <c r="G480" s="22"/>
      <c r="H480" s="22"/>
      <c r="I480" s="89"/>
      <c r="J480" s="89"/>
      <c r="K480" s="90">
        <f>COUNTIF(J481:J499,"Đạt")</f>
        <v>19</v>
      </c>
      <c r="L480" s="98">
        <f t="shared" si="95"/>
        <v>0</v>
      </c>
      <c r="M480" s="21"/>
      <c r="N480" s="21"/>
      <c r="O480" s="22"/>
      <c r="P480" s="99"/>
      <c r="Q480" s="89"/>
      <c r="R480" s="89"/>
      <c r="S480" s="90" t="s">
        <v>1199</v>
      </c>
      <c r="U480" s="84"/>
    </row>
    <row r="481" spans="1:20" s="84" customFormat="1" ht="19.5" hidden="1" customHeight="1" x14ac:dyDescent="0.25">
      <c r="A481" s="9" t="s">
        <v>148</v>
      </c>
      <c r="B481" s="1"/>
      <c r="C481" s="1" t="s">
        <v>1129</v>
      </c>
      <c r="D481" s="82">
        <f t="shared" ref="D481:D498" si="98">E481+F481</f>
        <v>67.605633802816897</v>
      </c>
      <c r="E481" s="105">
        <v>50.704225352112672</v>
      </c>
      <c r="F481" s="105">
        <v>16.901408450704224</v>
      </c>
      <c r="G481" s="12">
        <v>57.999999999999993</v>
      </c>
      <c r="H481" s="12">
        <v>94</v>
      </c>
      <c r="I481" s="12">
        <f>SUM((IF(D481&gt;=16.24,1,0))+(IF(G481&lt;60,1,0))+(IF(H481&lt;90,1,0)))</f>
        <v>2</v>
      </c>
      <c r="J481" s="12" t="str">
        <f>IF(I481&gt;=2,"Đạt","Không đạt")</f>
        <v>Đạt</v>
      </c>
      <c r="K481" s="10"/>
      <c r="L481" s="96">
        <f t="shared" si="95"/>
        <v>67.599999999999994</v>
      </c>
      <c r="M481" s="10">
        <v>50.7</v>
      </c>
      <c r="N481" s="10">
        <v>16.899999999999999</v>
      </c>
      <c r="O481" s="12">
        <v>57.999999999999993</v>
      </c>
      <c r="P481" s="97">
        <v>98.75</v>
      </c>
      <c r="Q481" s="12">
        <f t="shared" si="96"/>
        <v>2</v>
      </c>
      <c r="R481" s="12" t="str">
        <f t="shared" si="97"/>
        <v>Đạt</v>
      </c>
      <c r="S481" s="10"/>
      <c r="T481" s="95"/>
    </row>
    <row r="482" spans="1:20" s="84" customFormat="1" ht="19.5" hidden="1" customHeight="1" x14ac:dyDescent="0.25">
      <c r="A482" s="9" t="s">
        <v>149</v>
      </c>
      <c r="B482" s="1"/>
      <c r="C482" s="1" t="s">
        <v>1130</v>
      </c>
      <c r="D482" s="82">
        <f t="shared" si="98"/>
        <v>80.165289256198349</v>
      </c>
      <c r="E482" s="105">
        <v>47.933884297520663</v>
      </c>
      <c r="F482" s="105">
        <v>32.231404958677686</v>
      </c>
      <c r="G482" s="12">
        <v>55.000000000000007</v>
      </c>
      <c r="H482" s="12">
        <v>85</v>
      </c>
      <c r="I482" s="12">
        <f t="shared" ref="I482:I499" si="99">SUM((IF(D482&gt;=16.24,1,0))+(IF(G482&lt;60,1,0))+(IF(H482&lt;90,1,0)))</f>
        <v>3</v>
      </c>
      <c r="J482" s="12" t="str">
        <f t="shared" ref="J482:J499" si="100">IF(I482&gt;=2,"Đạt","Không đạt")</f>
        <v>Đạt</v>
      </c>
      <c r="K482" s="10"/>
      <c r="L482" s="96">
        <f t="shared" si="95"/>
        <v>80.16</v>
      </c>
      <c r="M482" s="10">
        <v>47.93</v>
      </c>
      <c r="N482" s="10">
        <v>32.229999999999997</v>
      </c>
      <c r="O482" s="12">
        <v>55.000000000000007</v>
      </c>
      <c r="P482" s="97">
        <v>97.701149425287355</v>
      </c>
      <c r="Q482" s="12">
        <f t="shared" si="96"/>
        <v>2</v>
      </c>
      <c r="R482" s="12" t="str">
        <f t="shared" si="97"/>
        <v>Đạt</v>
      </c>
      <c r="S482" s="10"/>
      <c r="T482" s="95"/>
    </row>
    <row r="483" spans="1:20" s="84" customFormat="1" ht="19.5" hidden="1" customHeight="1" x14ac:dyDescent="0.25">
      <c r="A483" s="9" t="s">
        <v>150</v>
      </c>
      <c r="B483" s="1"/>
      <c r="C483" s="1" t="s">
        <v>1131</v>
      </c>
      <c r="D483" s="82">
        <f t="shared" si="98"/>
        <v>83.333333333333329</v>
      </c>
      <c r="E483" s="105">
        <v>36.666666666666664</v>
      </c>
      <c r="F483" s="105">
        <v>46.666666666666664</v>
      </c>
      <c r="G483" s="12">
        <v>57.999999999999993</v>
      </c>
      <c r="H483" s="12">
        <v>85</v>
      </c>
      <c r="I483" s="12">
        <f t="shared" si="99"/>
        <v>3</v>
      </c>
      <c r="J483" s="12" t="str">
        <f t="shared" si="100"/>
        <v>Đạt</v>
      </c>
      <c r="K483" s="10"/>
      <c r="L483" s="96">
        <f t="shared" si="95"/>
        <v>83.34</v>
      </c>
      <c r="M483" s="10">
        <v>36.67</v>
      </c>
      <c r="N483" s="10">
        <v>46.67</v>
      </c>
      <c r="O483" s="12">
        <v>57.999999999999993</v>
      </c>
      <c r="P483" s="97">
        <v>98.591549295774655</v>
      </c>
      <c r="Q483" s="12">
        <f t="shared" si="96"/>
        <v>2</v>
      </c>
      <c r="R483" s="12" t="str">
        <f t="shared" si="97"/>
        <v>Đạt</v>
      </c>
      <c r="S483" s="10"/>
      <c r="T483" s="95"/>
    </row>
    <row r="484" spans="1:20" s="84" customFormat="1" ht="19.5" hidden="1" customHeight="1" x14ac:dyDescent="0.25">
      <c r="A484" s="9" t="s">
        <v>151</v>
      </c>
      <c r="B484" s="1"/>
      <c r="C484" s="1" t="s">
        <v>1132</v>
      </c>
      <c r="D484" s="82">
        <f t="shared" si="98"/>
        <v>81.481481481481481</v>
      </c>
      <c r="E484" s="105">
        <v>49.382716049382715</v>
      </c>
      <c r="F484" s="105">
        <v>32.098765432098766</v>
      </c>
      <c r="G484" s="12">
        <v>56.999999999999993</v>
      </c>
      <c r="H484" s="12">
        <v>90</v>
      </c>
      <c r="I484" s="12">
        <f t="shared" si="99"/>
        <v>2</v>
      </c>
      <c r="J484" s="12" t="str">
        <f t="shared" si="100"/>
        <v>Đạt</v>
      </c>
      <c r="K484" s="10"/>
      <c r="L484" s="96">
        <f t="shared" si="95"/>
        <v>81.48</v>
      </c>
      <c r="M484" s="10">
        <v>49.38</v>
      </c>
      <c r="N484" s="10">
        <v>32.1</v>
      </c>
      <c r="O484" s="12">
        <v>56.999999999999993</v>
      </c>
      <c r="P484" s="97">
        <v>99.173553719008268</v>
      </c>
      <c r="Q484" s="12">
        <f t="shared" si="96"/>
        <v>2</v>
      </c>
      <c r="R484" s="12" t="str">
        <f t="shared" si="97"/>
        <v>Đạt</v>
      </c>
      <c r="S484" s="10"/>
      <c r="T484" s="95"/>
    </row>
    <row r="485" spans="1:20" s="84" customFormat="1" ht="19.5" hidden="1" customHeight="1" x14ac:dyDescent="0.25">
      <c r="A485" s="9" t="s">
        <v>152</v>
      </c>
      <c r="B485" s="1"/>
      <c r="C485" s="1" t="s">
        <v>1133</v>
      </c>
      <c r="D485" s="82">
        <f t="shared" si="98"/>
        <v>71.875</v>
      </c>
      <c r="E485" s="105">
        <v>33.333333333333329</v>
      </c>
      <c r="F485" s="105">
        <v>38.541666666666671</v>
      </c>
      <c r="G485" s="12">
        <v>59</v>
      </c>
      <c r="H485" s="12">
        <v>98</v>
      </c>
      <c r="I485" s="12">
        <f t="shared" si="99"/>
        <v>2</v>
      </c>
      <c r="J485" s="12" t="str">
        <f t="shared" si="100"/>
        <v>Đạt</v>
      </c>
      <c r="K485" s="10"/>
      <c r="L485" s="96">
        <f t="shared" si="95"/>
        <v>71.87</v>
      </c>
      <c r="M485" s="10">
        <v>33.33</v>
      </c>
      <c r="N485" s="10">
        <v>38.54</v>
      </c>
      <c r="O485" s="12">
        <v>59</v>
      </c>
      <c r="P485" s="97">
        <v>98.83720930232559</v>
      </c>
      <c r="Q485" s="12">
        <f t="shared" si="96"/>
        <v>2</v>
      </c>
      <c r="R485" s="12" t="str">
        <f t="shared" si="97"/>
        <v>Đạt</v>
      </c>
      <c r="S485" s="10"/>
      <c r="T485" s="95"/>
    </row>
    <row r="486" spans="1:20" s="84" customFormat="1" ht="19.5" hidden="1" customHeight="1" x14ac:dyDescent="0.25">
      <c r="A486" s="9" t="s">
        <v>153</v>
      </c>
      <c r="B486" s="1"/>
      <c r="C486" s="1" t="s">
        <v>1134</v>
      </c>
      <c r="D486" s="82">
        <f t="shared" si="98"/>
        <v>85.714285714285708</v>
      </c>
      <c r="E486" s="105">
        <v>53.968253968253968</v>
      </c>
      <c r="F486" s="105">
        <v>31.746031746031743</v>
      </c>
      <c r="G486" s="12">
        <v>56.000000000000007</v>
      </c>
      <c r="H486" s="12">
        <v>95</v>
      </c>
      <c r="I486" s="12">
        <f t="shared" si="99"/>
        <v>2</v>
      </c>
      <c r="J486" s="12" t="str">
        <f t="shared" si="100"/>
        <v>Đạt</v>
      </c>
      <c r="K486" s="10"/>
      <c r="L486" s="96">
        <f t="shared" si="95"/>
        <v>85.72</v>
      </c>
      <c r="M486" s="10">
        <v>53.97</v>
      </c>
      <c r="N486" s="10">
        <v>31.75</v>
      </c>
      <c r="O486" s="12">
        <v>56.000000000000007</v>
      </c>
      <c r="P486" s="97">
        <v>98.958333333333343</v>
      </c>
      <c r="Q486" s="12">
        <f t="shared" si="96"/>
        <v>2</v>
      </c>
      <c r="R486" s="12" t="str">
        <f t="shared" si="97"/>
        <v>Đạt</v>
      </c>
      <c r="S486" s="10"/>
      <c r="T486" s="95"/>
    </row>
    <row r="487" spans="1:20" s="84" customFormat="1" ht="19.5" hidden="1" customHeight="1" x14ac:dyDescent="0.25">
      <c r="A487" s="9" t="s">
        <v>154</v>
      </c>
      <c r="B487" s="1"/>
      <c r="C487" s="1" t="s">
        <v>868</v>
      </c>
      <c r="D487" s="82">
        <f t="shared" si="98"/>
        <v>85.057471264367805</v>
      </c>
      <c r="E487" s="105">
        <v>58.620689655172406</v>
      </c>
      <c r="F487" s="105">
        <v>26.436781609195403</v>
      </c>
      <c r="G487" s="12">
        <v>55.000000000000007</v>
      </c>
      <c r="H487" s="12">
        <v>97</v>
      </c>
      <c r="I487" s="12">
        <f t="shared" si="99"/>
        <v>2</v>
      </c>
      <c r="J487" s="12" t="str">
        <f t="shared" si="100"/>
        <v>Đạt</v>
      </c>
      <c r="K487" s="10"/>
      <c r="L487" s="96">
        <f t="shared" si="95"/>
        <v>85.06</v>
      </c>
      <c r="M487" s="10">
        <v>58.62</v>
      </c>
      <c r="N487" s="10">
        <v>26.44</v>
      </c>
      <c r="O487" s="12">
        <v>55.000000000000007</v>
      </c>
      <c r="P487" s="97">
        <v>98.412698412698418</v>
      </c>
      <c r="Q487" s="12">
        <f t="shared" si="96"/>
        <v>2</v>
      </c>
      <c r="R487" s="12" t="str">
        <f t="shared" si="97"/>
        <v>Đạt</v>
      </c>
      <c r="S487" s="10"/>
      <c r="T487" s="95"/>
    </row>
    <row r="488" spans="1:20" s="84" customFormat="1" ht="30" customHeight="1" x14ac:dyDescent="0.25">
      <c r="A488" s="9" t="s">
        <v>155</v>
      </c>
      <c r="B488" s="1"/>
      <c r="C488" s="1" t="s">
        <v>549</v>
      </c>
      <c r="D488" s="82">
        <f t="shared" si="98"/>
        <v>56.97674418604651</v>
      </c>
      <c r="E488" s="105">
        <v>36.046511627906973</v>
      </c>
      <c r="F488" s="105">
        <v>20.930232558139537</v>
      </c>
      <c r="G488" s="12">
        <v>80</v>
      </c>
      <c r="H488" s="12">
        <v>85</v>
      </c>
      <c r="I488" s="12">
        <f t="shared" si="99"/>
        <v>2</v>
      </c>
      <c r="J488" s="12" t="str">
        <f t="shared" si="100"/>
        <v>Đạt</v>
      </c>
      <c r="K488" s="10"/>
      <c r="L488" s="96">
        <f t="shared" si="95"/>
        <v>56.98</v>
      </c>
      <c r="M488" s="10">
        <v>36.049999999999997</v>
      </c>
      <c r="N488" s="10">
        <v>20.93</v>
      </c>
      <c r="O488" s="12">
        <v>80</v>
      </c>
      <c r="P488" s="97">
        <v>99.999999999999986</v>
      </c>
      <c r="Q488" s="12">
        <f t="shared" si="96"/>
        <v>1</v>
      </c>
      <c r="R488" s="12" t="str">
        <f t="shared" si="97"/>
        <v>Không đạt</v>
      </c>
      <c r="S488" s="10" t="s">
        <v>1185</v>
      </c>
      <c r="T488" s="95"/>
    </row>
    <row r="489" spans="1:20" s="84" customFormat="1" ht="19.5" hidden="1" customHeight="1" x14ac:dyDescent="0.25">
      <c r="A489" s="9" t="s">
        <v>156</v>
      </c>
      <c r="B489" s="1"/>
      <c r="C489" s="1" t="s">
        <v>1135</v>
      </c>
      <c r="D489" s="82">
        <f t="shared" si="98"/>
        <v>85.294117647058826</v>
      </c>
      <c r="E489" s="105">
        <v>52.941176470588239</v>
      </c>
      <c r="F489" s="105">
        <v>32.352941176470587</v>
      </c>
      <c r="G489" s="12">
        <v>50</v>
      </c>
      <c r="H489" s="12">
        <v>85</v>
      </c>
      <c r="I489" s="12">
        <f t="shared" si="99"/>
        <v>3</v>
      </c>
      <c r="J489" s="12" t="str">
        <f t="shared" si="100"/>
        <v>Đạt</v>
      </c>
      <c r="K489" s="10"/>
      <c r="L489" s="96">
        <f t="shared" si="95"/>
        <v>85.289999999999992</v>
      </c>
      <c r="M489" s="10">
        <v>52.94</v>
      </c>
      <c r="N489" s="10">
        <v>32.35</v>
      </c>
      <c r="O489" s="12">
        <v>50</v>
      </c>
      <c r="P489" s="97">
        <v>99.324324324324323</v>
      </c>
      <c r="Q489" s="12">
        <f t="shared" si="96"/>
        <v>2</v>
      </c>
      <c r="R489" s="12" t="str">
        <f t="shared" si="97"/>
        <v>Đạt</v>
      </c>
      <c r="S489" s="10"/>
      <c r="T489" s="95"/>
    </row>
    <row r="490" spans="1:20" s="84" customFormat="1" ht="19.5" hidden="1" customHeight="1" x14ac:dyDescent="0.25">
      <c r="A490" s="9" t="s">
        <v>157</v>
      </c>
      <c r="B490" s="1"/>
      <c r="C490" s="1" t="s">
        <v>1124</v>
      </c>
      <c r="D490" s="82">
        <f t="shared" si="98"/>
        <v>79.640718562874241</v>
      </c>
      <c r="E490" s="105">
        <v>37.125748502994007</v>
      </c>
      <c r="F490" s="105">
        <v>42.514970059880241</v>
      </c>
      <c r="G490" s="12">
        <v>59</v>
      </c>
      <c r="H490" s="12">
        <v>98</v>
      </c>
      <c r="I490" s="12">
        <f t="shared" si="99"/>
        <v>2</v>
      </c>
      <c r="J490" s="12" t="str">
        <f t="shared" si="100"/>
        <v>Đạt</v>
      </c>
      <c r="K490" s="10"/>
      <c r="L490" s="96">
        <f t="shared" si="95"/>
        <v>79.64</v>
      </c>
      <c r="M490" s="10">
        <v>37.130000000000003</v>
      </c>
      <c r="N490" s="10">
        <v>42.51</v>
      </c>
      <c r="O490" s="12">
        <v>59</v>
      </c>
      <c r="P490" s="97">
        <v>99.029126213592235</v>
      </c>
      <c r="Q490" s="12">
        <f t="shared" si="96"/>
        <v>2</v>
      </c>
      <c r="R490" s="12" t="str">
        <f t="shared" si="97"/>
        <v>Đạt</v>
      </c>
      <c r="S490" s="10"/>
      <c r="T490" s="95"/>
    </row>
    <row r="491" spans="1:20" s="84" customFormat="1" ht="30" customHeight="1" x14ac:dyDescent="0.25">
      <c r="A491" s="9" t="s">
        <v>158</v>
      </c>
      <c r="B491" s="1"/>
      <c r="C491" s="1" t="s">
        <v>811</v>
      </c>
      <c r="D491" s="82">
        <f t="shared" si="98"/>
        <v>76.344086021505376</v>
      </c>
      <c r="E491" s="105">
        <v>50.537634408602152</v>
      </c>
      <c r="F491" s="105">
        <v>25.806451612903224</v>
      </c>
      <c r="G491" s="12">
        <v>80</v>
      </c>
      <c r="H491" s="12">
        <v>86</v>
      </c>
      <c r="I491" s="12">
        <f t="shared" si="99"/>
        <v>2</v>
      </c>
      <c r="J491" s="12" t="str">
        <f t="shared" si="100"/>
        <v>Đạt</v>
      </c>
      <c r="K491" s="10"/>
      <c r="L491" s="96">
        <f t="shared" si="95"/>
        <v>76.349999999999994</v>
      </c>
      <c r="M491" s="10">
        <v>50.54</v>
      </c>
      <c r="N491" s="10">
        <v>25.81</v>
      </c>
      <c r="O491" s="12">
        <v>80</v>
      </c>
      <c r="P491" s="97">
        <v>98.787878787878796</v>
      </c>
      <c r="Q491" s="12">
        <f t="shared" si="96"/>
        <v>1</v>
      </c>
      <c r="R491" s="12" t="str">
        <f t="shared" si="97"/>
        <v>Không đạt</v>
      </c>
      <c r="S491" s="10" t="s">
        <v>1185</v>
      </c>
      <c r="T491" s="95"/>
    </row>
    <row r="492" spans="1:20" s="84" customFormat="1" ht="19.5" hidden="1" customHeight="1" x14ac:dyDescent="0.25">
      <c r="A492" s="9" t="s">
        <v>159</v>
      </c>
      <c r="B492" s="1"/>
      <c r="C492" s="1" t="s">
        <v>496</v>
      </c>
      <c r="D492" s="82">
        <f t="shared" si="98"/>
        <v>92.771084337349407</v>
      </c>
      <c r="E492" s="105">
        <v>54.216867469879517</v>
      </c>
      <c r="F492" s="105">
        <v>38.554216867469883</v>
      </c>
      <c r="G492" s="12">
        <v>50</v>
      </c>
      <c r="H492" s="12">
        <v>85</v>
      </c>
      <c r="I492" s="12">
        <f t="shared" si="99"/>
        <v>3</v>
      </c>
      <c r="J492" s="12" t="str">
        <f t="shared" si="100"/>
        <v>Đạt</v>
      </c>
      <c r="K492" s="10"/>
      <c r="L492" s="96">
        <f t="shared" si="95"/>
        <v>92.77</v>
      </c>
      <c r="M492" s="10">
        <v>54.22</v>
      </c>
      <c r="N492" s="10">
        <v>38.549999999999997</v>
      </c>
      <c r="O492" s="12">
        <v>50</v>
      </c>
      <c r="P492" s="97">
        <v>98.83720930232559</v>
      </c>
      <c r="Q492" s="12">
        <f t="shared" si="96"/>
        <v>2</v>
      </c>
      <c r="R492" s="12" t="str">
        <f t="shared" si="97"/>
        <v>Đạt</v>
      </c>
      <c r="S492" s="10"/>
      <c r="T492" s="95"/>
    </row>
    <row r="493" spans="1:20" s="84" customFormat="1" ht="19.5" hidden="1" customHeight="1" x14ac:dyDescent="0.25">
      <c r="A493" s="9" t="s">
        <v>160</v>
      </c>
      <c r="B493" s="1"/>
      <c r="C493" s="1" t="s">
        <v>1123</v>
      </c>
      <c r="D493" s="82">
        <f t="shared" si="98"/>
        <v>83.84615384615384</v>
      </c>
      <c r="E493" s="105">
        <v>50</v>
      </c>
      <c r="F493" s="105">
        <v>33.846153846153847</v>
      </c>
      <c r="G493" s="12">
        <v>52</v>
      </c>
      <c r="H493" s="12">
        <v>90</v>
      </c>
      <c r="I493" s="12">
        <f t="shared" si="99"/>
        <v>2</v>
      </c>
      <c r="J493" s="12" t="str">
        <f t="shared" si="100"/>
        <v>Đạt</v>
      </c>
      <c r="K493" s="10"/>
      <c r="L493" s="96">
        <f t="shared" si="95"/>
        <v>83.85</v>
      </c>
      <c r="M493" s="10">
        <v>50</v>
      </c>
      <c r="N493" s="10">
        <v>33.85</v>
      </c>
      <c r="O493" s="12">
        <v>52</v>
      </c>
      <c r="P493" s="97">
        <v>98.83720930232559</v>
      </c>
      <c r="Q493" s="12">
        <f t="shared" si="96"/>
        <v>2</v>
      </c>
      <c r="R493" s="12" t="str">
        <f t="shared" si="97"/>
        <v>Đạt</v>
      </c>
      <c r="S493" s="10"/>
      <c r="T493" s="95"/>
    </row>
    <row r="494" spans="1:20" s="84" customFormat="1" ht="19.5" hidden="1" customHeight="1" x14ac:dyDescent="0.25">
      <c r="A494" s="9" t="s">
        <v>161</v>
      </c>
      <c r="B494" s="1"/>
      <c r="C494" s="1" t="s">
        <v>1125</v>
      </c>
      <c r="D494" s="82">
        <f t="shared" si="98"/>
        <v>81.045751633986924</v>
      </c>
      <c r="E494" s="105">
        <v>48.366013071895424</v>
      </c>
      <c r="F494" s="105">
        <v>32.679738562091501</v>
      </c>
      <c r="G494" s="12">
        <v>51</v>
      </c>
      <c r="H494" s="12">
        <v>85</v>
      </c>
      <c r="I494" s="12">
        <f t="shared" si="99"/>
        <v>3</v>
      </c>
      <c r="J494" s="12" t="str">
        <f t="shared" si="100"/>
        <v>Đạt</v>
      </c>
      <c r="K494" s="10"/>
      <c r="L494" s="96">
        <f t="shared" si="95"/>
        <v>81.05</v>
      </c>
      <c r="M494" s="10">
        <v>48.37</v>
      </c>
      <c r="N494" s="10">
        <v>32.68</v>
      </c>
      <c r="O494" s="12">
        <v>51</v>
      </c>
      <c r="P494" s="97">
        <v>98.958333333333343</v>
      </c>
      <c r="Q494" s="12">
        <f t="shared" si="96"/>
        <v>2</v>
      </c>
      <c r="R494" s="12" t="str">
        <f t="shared" si="97"/>
        <v>Đạt</v>
      </c>
      <c r="S494" s="10"/>
      <c r="T494" s="95"/>
    </row>
    <row r="495" spans="1:20" s="84" customFormat="1" ht="19.5" hidden="1" customHeight="1" x14ac:dyDescent="0.25">
      <c r="A495" s="9" t="s">
        <v>162</v>
      </c>
      <c r="B495" s="1"/>
      <c r="C495" s="1" t="s">
        <v>822</v>
      </c>
      <c r="D495" s="82">
        <f t="shared" si="98"/>
        <v>87.777777777777771</v>
      </c>
      <c r="E495" s="105">
        <v>46.666666666666664</v>
      </c>
      <c r="F495" s="105">
        <v>41.111111111111107</v>
      </c>
      <c r="G495" s="12">
        <v>53</v>
      </c>
      <c r="H495" s="12">
        <v>80</v>
      </c>
      <c r="I495" s="12">
        <f t="shared" si="99"/>
        <v>3</v>
      </c>
      <c r="J495" s="12" t="str">
        <f t="shared" si="100"/>
        <v>Đạt</v>
      </c>
      <c r="K495" s="10"/>
      <c r="L495" s="96">
        <f t="shared" si="95"/>
        <v>87.78</v>
      </c>
      <c r="M495" s="10">
        <v>46.67</v>
      </c>
      <c r="N495" s="10">
        <v>41.11</v>
      </c>
      <c r="O495" s="12">
        <v>53</v>
      </c>
      <c r="P495" s="97">
        <v>98.648648648648646</v>
      </c>
      <c r="Q495" s="12">
        <f t="shared" si="96"/>
        <v>2</v>
      </c>
      <c r="R495" s="12" t="str">
        <f t="shared" si="97"/>
        <v>Đạt</v>
      </c>
      <c r="S495" s="10"/>
      <c r="T495" s="95"/>
    </row>
    <row r="496" spans="1:20" s="84" customFormat="1" ht="33.75" customHeight="1" x14ac:dyDescent="0.25">
      <c r="A496" s="9" t="s">
        <v>163</v>
      </c>
      <c r="B496" s="1"/>
      <c r="C496" s="1" t="s">
        <v>1127</v>
      </c>
      <c r="D496" s="82">
        <f t="shared" si="98"/>
        <v>70.175438596491219</v>
      </c>
      <c r="E496" s="105">
        <v>31.578947368421051</v>
      </c>
      <c r="F496" s="105">
        <v>38.596491228070171</v>
      </c>
      <c r="G496" s="12">
        <v>90</v>
      </c>
      <c r="H496" s="12">
        <v>83</v>
      </c>
      <c r="I496" s="12">
        <f t="shared" si="99"/>
        <v>2</v>
      </c>
      <c r="J496" s="12" t="str">
        <f t="shared" si="100"/>
        <v>Đạt</v>
      </c>
      <c r="K496" s="10"/>
      <c r="L496" s="96">
        <f t="shared" si="95"/>
        <v>70.180000000000007</v>
      </c>
      <c r="M496" s="10">
        <v>31.58</v>
      </c>
      <c r="N496" s="10">
        <v>38.6</v>
      </c>
      <c r="O496" s="12">
        <v>90</v>
      </c>
      <c r="P496" s="97">
        <v>99.111111111111114</v>
      </c>
      <c r="Q496" s="12">
        <f t="shared" si="96"/>
        <v>1</v>
      </c>
      <c r="R496" s="12" t="str">
        <f t="shared" si="97"/>
        <v>Không đạt</v>
      </c>
      <c r="S496" s="10" t="s">
        <v>1185</v>
      </c>
      <c r="T496" s="95"/>
    </row>
    <row r="497" spans="1:21" s="84" customFormat="1" ht="33.75" customHeight="1" x14ac:dyDescent="0.25">
      <c r="A497" s="9" t="s">
        <v>164</v>
      </c>
      <c r="B497" s="1"/>
      <c r="C497" s="1" t="s">
        <v>1126</v>
      </c>
      <c r="D497" s="82">
        <f t="shared" si="98"/>
        <v>56.198347107438018</v>
      </c>
      <c r="E497" s="105">
        <v>15.702479338842975</v>
      </c>
      <c r="F497" s="105">
        <v>40.495867768595041</v>
      </c>
      <c r="G497" s="12">
        <v>90</v>
      </c>
      <c r="H497" s="12">
        <v>85</v>
      </c>
      <c r="I497" s="12">
        <f t="shared" si="99"/>
        <v>2</v>
      </c>
      <c r="J497" s="12" t="str">
        <f t="shared" si="100"/>
        <v>Đạt</v>
      </c>
      <c r="K497" s="10"/>
      <c r="L497" s="96">
        <f t="shared" si="95"/>
        <v>56.2</v>
      </c>
      <c r="M497" s="10">
        <v>15.7</v>
      </c>
      <c r="N497" s="10">
        <v>40.5</v>
      </c>
      <c r="O497" s="12">
        <v>90</v>
      </c>
      <c r="P497" s="97">
        <v>100.00000000000001</v>
      </c>
      <c r="Q497" s="12">
        <f t="shared" si="96"/>
        <v>1</v>
      </c>
      <c r="R497" s="12" t="str">
        <f t="shared" si="97"/>
        <v>Không đạt</v>
      </c>
      <c r="S497" s="10" t="s">
        <v>1185</v>
      </c>
      <c r="T497" s="95"/>
    </row>
    <row r="498" spans="1:21" s="84" customFormat="1" ht="35.25" customHeight="1" x14ac:dyDescent="0.25">
      <c r="A498" s="9" t="s">
        <v>165</v>
      </c>
      <c r="B498" s="1"/>
      <c r="C498" s="1" t="s">
        <v>1002</v>
      </c>
      <c r="D498" s="82">
        <f t="shared" si="98"/>
        <v>62.162162162162161</v>
      </c>
      <c r="E498" s="105">
        <v>21.621621621621621</v>
      </c>
      <c r="F498" s="105">
        <v>40.54054054054054</v>
      </c>
      <c r="G498" s="12">
        <v>80</v>
      </c>
      <c r="H498" s="12">
        <v>86</v>
      </c>
      <c r="I498" s="12">
        <f t="shared" si="99"/>
        <v>2</v>
      </c>
      <c r="J498" s="12" t="str">
        <f t="shared" si="100"/>
        <v>Đạt</v>
      </c>
      <c r="K498" s="10"/>
      <c r="L498" s="96">
        <f t="shared" si="95"/>
        <v>62.16</v>
      </c>
      <c r="M498" s="10">
        <v>21.62</v>
      </c>
      <c r="N498" s="10">
        <v>40.54</v>
      </c>
      <c r="O498" s="12">
        <v>80</v>
      </c>
      <c r="P498" s="97">
        <v>100</v>
      </c>
      <c r="Q498" s="12">
        <f t="shared" si="96"/>
        <v>1</v>
      </c>
      <c r="R498" s="12" t="str">
        <f t="shared" si="97"/>
        <v>Không đạt</v>
      </c>
      <c r="S498" s="10" t="s">
        <v>1185</v>
      </c>
      <c r="T498" s="95"/>
    </row>
    <row r="499" spans="1:21" s="84" customFormat="1" ht="29.25" customHeight="1" x14ac:dyDescent="0.25">
      <c r="A499" s="9" t="s">
        <v>166</v>
      </c>
      <c r="B499" s="1"/>
      <c r="C499" s="1" t="s">
        <v>1128</v>
      </c>
      <c r="D499" s="82">
        <f>E499+F499</f>
        <v>76.335877862595424</v>
      </c>
      <c r="E499" s="105">
        <v>34.351145038167942</v>
      </c>
      <c r="F499" s="105">
        <v>41.984732824427482</v>
      </c>
      <c r="G499" s="12">
        <v>80</v>
      </c>
      <c r="H499" s="12">
        <v>88</v>
      </c>
      <c r="I499" s="12">
        <f t="shared" si="99"/>
        <v>2</v>
      </c>
      <c r="J499" s="12" t="str">
        <f t="shared" si="100"/>
        <v>Đạt</v>
      </c>
      <c r="K499" s="10"/>
      <c r="L499" s="96">
        <f t="shared" si="95"/>
        <v>76.33</v>
      </c>
      <c r="M499" s="10">
        <v>34.35</v>
      </c>
      <c r="N499" s="10">
        <v>41.98</v>
      </c>
      <c r="O499" s="12">
        <v>80</v>
      </c>
      <c r="P499" s="97">
        <v>100</v>
      </c>
      <c r="Q499" s="12">
        <f t="shared" si="96"/>
        <v>1</v>
      </c>
      <c r="R499" s="12" t="str">
        <f t="shared" si="97"/>
        <v>Không đạt</v>
      </c>
      <c r="S499" s="10" t="s">
        <v>1185</v>
      </c>
      <c r="T499" s="95"/>
    </row>
    <row r="500" spans="1:21" s="95" customFormat="1" ht="18.75" hidden="1" customHeight="1" x14ac:dyDescent="0.25">
      <c r="A500" s="5" t="s">
        <v>313</v>
      </c>
      <c r="B500" s="6" t="s">
        <v>129</v>
      </c>
      <c r="C500" s="6"/>
      <c r="D500" s="8"/>
      <c r="E500" s="103"/>
      <c r="F500" s="103"/>
      <c r="G500" s="8"/>
      <c r="H500" s="8"/>
      <c r="I500" s="8"/>
      <c r="J500" s="8"/>
      <c r="K500" s="48">
        <f>COUNTIF(J501:J525,"Đạt")</f>
        <v>16</v>
      </c>
      <c r="L500" s="101">
        <f t="shared" si="95"/>
        <v>0</v>
      </c>
      <c r="M500" s="7"/>
      <c r="N500" s="7"/>
      <c r="O500" s="8"/>
      <c r="P500" s="102"/>
      <c r="Q500" s="77"/>
      <c r="R500" s="77"/>
      <c r="S500" s="48"/>
      <c r="T500" s="94"/>
      <c r="U500" s="84"/>
    </row>
    <row r="501" spans="1:21" s="84" customFormat="1" hidden="1" x14ac:dyDescent="0.25">
      <c r="A501" s="9" t="s">
        <v>148</v>
      </c>
      <c r="B501" s="1"/>
      <c r="C501" s="1" t="s">
        <v>288</v>
      </c>
      <c r="D501" s="15">
        <f>E501+F501</f>
        <v>41.33</v>
      </c>
      <c r="E501" s="11">
        <v>25.33</v>
      </c>
      <c r="F501" s="11">
        <v>16</v>
      </c>
      <c r="G501" s="12">
        <v>53</v>
      </c>
      <c r="H501" s="12">
        <v>100</v>
      </c>
      <c r="I501" s="12">
        <f>SUM((IF(D501&gt;=16.24,1,0))+(IF(G501&lt;60,1,0))+(IF(H501&lt;90,1,0)))</f>
        <v>2</v>
      </c>
      <c r="J501" s="12" t="str">
        <f>IF(I501&gt;=2,"Đạt","Không đạt")</f>
        <v>Đạt</v>
      </c>
      <c r="K501" s="10"/>
      <c r="L501" s="96">
        <f t="shared" si="95"/>
        <v>41.3</v>
      </c>
      <c r="M501" s="10">
        <v>25.3</v>
      </c>
      <c r="N501" s="10">
        <v>16</v>
      </c>
      <c r="O501" s="12">
        <v>53</v>
      </c>
      <c r="P501" s="97">
        <v>100</v>
      </c>
      <c r="Q501" s="12">
        <f t="shared" si="96"/>
        <v>2</v>
      </c>
      <c r="R501" s="12" t="str">
        <f t="shared" si="97"/>
        <v>Đạt</v>
      </c>
      <c r="S501" s="10"/>
      <c r="T501" s="95"/>
    </row>
    <row r="502" spans="1:21" s="84" customFormat="1" hidden="1" x14ac:dyDescent="0.25">
      <c r="A502" s="9" t="s">
        <v>149</v>
      </c>
      <c r="B502" s="1"/>
      <c r="C502" s="1" t="s">
        <v>289</v>
      </c>
      <c r="D502" s="15">
        <f t="shared" ref="D502:D525" si="101">E502+F502</f>
        <v>45</v>
      </c>
      <c r="E502" s="11">
        <v>12.5</v>
      </c>
      <c r="F502" s="11">
        <v>32.5</v>
      </c>
      <c r="G502" s="12">
        <v>55.000000000000007</v>
      </c>
      <c r="H502" s="12">
        <v>100</v>
      </c>
      <c r="I502" s="12">
        <f t="shared" ref="I502:I525" si="102">SUM((IF(D502&gt;=16.24,1,0))+(IF(G502&lt;60,1,0))+(IF(H502&lt;90,1,0)))</f>
        <v>2</v>
      </c>
      <c r="J502" s="12" t="str">
        <f t="shared" ref="J502:J525" si="103">IF(I502&gt;=2,"Đạt","Không đạt")</f>
        <v>Đạt</v>
      </c>
      <c r="K502" s="10"/>
      <c r="L502" s="96">
        <f t="shared" si="95"/>
        <v>45</v>
      </c>
      <c r="M502" s="10">
        <v>12.5</v>
      </c>
      <c r="N502" s="10">
        <v>32.5</v>
      </c>
      <c r="O502" s="12">
        <v>55.000000000000007</v>
      </c>
      <c r="P502" s="97">
        <v>100</v>
      </c>
      <c r="Q502" s="12">
        <f t="shared" si="96"/>
        <v>2</v>
      </c>
      <c r="R502" s="12" t="str">
        <f t="shared" si="97"/>
        <v>Đạt</v>
      </c>
      <c r="S502" s="10"/>
      <c r="T502" s="95"/>
    </row>
    <row r="503" spans="1:21" s="84" customFormat="1" hidden="1" x14ac:dyDescent="0.25">
      <c r="A503" s="9" t="s">
        <v>150</v>
      </c>
      <c r="B503" s="1"/>
      <c r="C503" s="1" t="s">
        <v>290</v>
      </c>
      <c r="D503" s="15">
        <f t="shared" si="101"/>
        <v>40.540000000000006</v>
      </c>
      <c r="E503" s="11">
        <v>18.920000000000002</v>
      </c>
      <c r="F503" s="11">
        <v>21.62</v>
      </c>
      <c r="G503" s="12">
        <v>56.999999999999993</v>
      </c>
      <c r="H503" s="12">
        <v>98.65</v>
      </c>
      <c r="I503" s="12">
        <f t="shared" si="102"/>
        <v>2</v>
      </c>
      <c r="J503" s="12" t="str">
        <f t="shared" si="103"/>
        <v>Đạt</v>
      </c>
      <c r="K503" s="10"/>
      <c r="L503" s="96">
        <f t="shared" si="95"/>
        <v>40.5</v>
      </c>
      <c r="M503" s="10">
        <v>18.899999999999999</v>
      </c>
      <c r="N503" s="10">
        <v>21.6</v>
      </c>
      <c r="O503" s="12">
        <v>56.999999999999993</v>
      </c>
      <c r="P503" s="97">
        <v>100</v>
      </c>
      <c r="Q503" s="12">
        <f t="shared" si="96"/>
        <v>2</v>
      </c>
      <c r="R503" s="12" t="str">
        <f t="shared" si="97"/>
        <v>Đạt</v>
      </c>
      <c r="S503" s="10"/>
      <c r="T503" s="95"/>
    </row>
    <row r="504" spans="1:21" s="84" customFormat="1" hidden="1" x14ac:dyDescent="0.25">
      <c r="A504" s="9" t="s">
        <v>151</v>
      </c>
      <c r="B504" s="1"/>
      <c r="C504" s="1" t="s">
        <v>291</v>
      </c>
      <c r="D504" s="15">
        <f t="shared" si="101"/>
        <v>31.37</v>
      </c>
      <c r="E504" s="11">
        <v>24.51</v>
      </c>
      <c r="F504" s="11">
        <v>6.86</v>
      </c>
      <c r="G504" s="12">
        <v>62</v>
      </c>
      <c r="H504" s="12">
        <v>100</v>
      </c>
      <c r="I504" s="12">
        <f t="shared" si="102"/>
        <v>1</v>
      </c>
      <c r="J504" s="12" t="str">
        <f t="shared" si="103"/>
        <v>Không đạt</v>
      </c>
      <c r="K504" s="10"/>
      <c r="L504" s="96">
        <f t="shared" si="95"/>
        <v>31.4</v>
      </c>
      <c r="M504" s="10">
        <v>24.5</v>
      </c>
      <c r="N504" s="10">
        <v>6.9</v>
      </c>
      <c r="O504" s="12">
        <v>62</v>
      </c>
      <c r="P504" s="97">
        <v>100</v>
      </c>
      <c r="Q504" s="12">
        <f t="shared" si="96"/>
        <v>1</v>
      </c>
      <c r="R504" s="12" t="str">
        <f t="shared" si="97"/>
        <v>Không đạt</v>
      </c>
      <c r="S504" s="10"/>
      <c r="T504" s="95"/>
    </row>
    <row r="505" spans="1:21" s="84" customFormat="1" hidden="1" x14ac:dyDescent="0.25">
      <c r="A505" s="9" t="s">
        <v>152</v>
      </c>
      <c r="B505" s="1"/>
      <c r="C505" s="1" t="s">
        <v>292</v>
      </c>
      <c r="D505" s="15">
        <f t="shared" si="101"/>
        <v>45.28</v>
      </c>
      <c r="E505" s="11">
        <v>24.53</v>
      </c>
      <c r="F505" s="11">
        <v>20.75</v>
      </c>
      <c r="G505" s="12">
        <v>65</v>
      </c>
      <c r="H505" s="12">
        <v>100</v>
      </c>
      <c r="I505" s="12">
        <f t="shared" si="102"/>
        <v>1</v>
      </c>
      <c r="J505" s="12" t="str">
        <f t="shared" si="103"/>
        <v>Không đạt</v>
      </c>
      <c r="K505" s="10"/>
      <c r="L505" s="96">
        <f t="shared" si="95"/>
        <v>45.3</v>
      </c>
      <c r="M505" s="10">
        <v>24.5</v>
      </c>
      <c r="N505" s="10">
        <v>20.8</v>
      </c>
      <c r="O505" s="12">
        <v>65</v>
      </c>
      <c r="P505" s="97">
        <v>100</v>
      </c>
      <c r="Q505" s="12">
        <f t="shared" si="96"/>
        <v>1</v>
      </c>
      <c r="R505" s="12" t="str">
        <f t="shared" si="97"/>
        <v>Không đạt</v>
      </c>
      <c r="S505" s="10"/>
      <c r="T505" s="95"/>
    </row>
    <row r="506" spans="1:21" s="84" customFormat="1" hidden="1" x14ac:dyDescent="0.25">
      <c r="A506" s="9" t="s">
        <v>153</v>
      </c>
      <c r="B506" s="1"/>
      <c r="C506" s="1" t="s">
        <v>293</v>
      </c>
      <c r="D506" s="15">
        <f t="shared" si="101"/>
        <v>46.51</v>
      </c>
      <c r="E506" s="11">
        <v>20.93</v>
      </c>
      <c r="F506" s="11">
        <v>25.58</v>
      </c>
      <c r="G506" s="12">
        <v>78</v>
      </c>
      <c r="H506" s="12">
        <v>100</v>
      </c>
      <c r="I506" s="12">
        <f t="shared" si="102"/>
        <v>1</v>
      </c>
      <c r="J506" s="12" t="str">
        <f t="shared" si="103"/>
        <v>Không đạt</v>
      </c>
      <c r="K506" s="10"/>
      <c r="L506" s="96">
        <f t="shared" si="95"/>
        <v>46.5</v>
      </c>
      <c r="M506" s="10">
        <v>20.9</v>
      </c>
      <c r="N506" s="10">
        <v>25.6</v>
      </c>
      <c r="O506" s="12">
        <v>78</v>
      </c>
      <c r="P506" s="97">
        <v>100</v>
      </c>
      <c r="Q506" s="12">
        <f t="shared" si="96"/>
        <v>1</v>
      </c>
      <c r="R506" s="12" t="str">
        <f t="shared" si="97"/>
        <v>Không đạt</v>
      </c>
      <c r="S506" s="10"/>
      <c r="T506" s="95"/>
    </row>
    <row r="507" spans="1:21" s="84" customFormat="1" hidden="1" x14ac:dyDescent="0.25">
      <c r="A507" s="9" t="s">
        <v>154</v>
      </c>
      <c r="B507" s="1"/>
      <c r="C507" s="1" t="s">
        <v>294</v>
      </c>
      <c r="D507" s="15">
        <f t="shared" si="101"/>
        <v>41.269999999999996</v>
      </c>
      <c r="E507" s="11">
        <v>19.05</v>
      </c>
      <c r="F507" s="11">
        <v>22.22</v>
      </c>
      <c r="G507" s="12">
        <v>82</v>
      </c>
      <c r="H507" s="12">
        <v>100</v>
      </c>
      <c r="I507" s="12">
        <f t="shared" si="102"/>
        <v>1</v>
      </c>
      <c r="J507" s="12" t="str">
        <f t="shared" si="103"/>
        <v>Không đạt</v>
      </c>
      <c r="K507" s="10"/>
      <c r="L507" s="96">
        <f t="shared" si="95"/>
        <v>41.3</v>
      </c>
      <c r="M507" s="10">
        <v>19.100000000000001</v>
      </c>
      <c r="N507" s="10">
        <v>22.2</v>
      </c>
      <c r="O507" s="12">
        <v>82</v>
      </c>
      <c r="P507" s="97">
        <v>100</v>
      </c>
      <c r="Q507" s="12">
        <f t="shared" si="96"/>
        <v>1</v>
      </c>
      <c r="R507" s="12" t="str">
        <f t="shared" si="97"/>
        <v>Không đạt</v>
      </c>
      <c r="S507" s="10"/>
      <c r="T507" s="95"/>
    </row>
    <row r="508" spans="1:21" s="84" customFormat="1" hidden="1" x14ac:dyDescent="0.25">
      <c r="A508" s="9" t="s">
        <v>155</v>
      </c>
      <c r="B508" s="1"/>
      <c r="C508" s="1" t="s">
        <v>295</v>
      </c>
      <c r="D508" s="15">
        <f t="shared" si="101"/>
        <v>26.09</v>
      </c>
      <c r="E508" s="11">
        <v>20.29</v>
      </c>
      <c r="F508" s="11">
        <v>5.8</v>
      </c>
      <c r="G508" s="12">
        <v>65</v>
      </c>
      <c r="H508" s="12">
        <v>100</v>
      </c>
      <c r="I508" s="12">
        <f t="shared" si="102"/>
        <v>1</v>
      </c>
      <c r="J508" s="12" t="str">
        <f t="shared" si="103"/>
        <v>Không đạt</v>
      </c>
      <c r="K508" s="10"/>
      <c r="L508" s="96">
        <f t="shared" si="95"/>
        <v>26.1</v>
      </c>
      <c r="M508" s="10">
        <v>20.3</v>
      </c>
      <c r="N508" s="10">
        <v>5.8</v>
      </c>
      <c r="O508" s="12">
        <v>65</v>
      </c>
      <c r="P508" s="97">
        <v>100</v>
      </c>
      <c r="Q508" s="12">
        <f t="shared" si="96"/>
        <v>1</v>
      </c>
      <c r="R508" s="12" t="str">
        <f t="shared" si="97"/>
        <v>Không đạt</v>
      </c>
      <c r="S508" s="10"/>
      <c r="T508" s="95"/>
    </row>
    <row r="509" spans="1:21" s="84" customFormat="1" hidden="1" x14ac:dyDescent="0.25">
      <c r="A509" s="9" t="s">
        <v>156</v>
      </c>
      <c r="B509" s="1"/>
      <c r="C509" s="1" t="s">
        <v>296</v>
      </c>
      <c r="D509" s="15">
        <f t="shared" si="101"/>
        <v>58.47</v>
      </c>
      <c r="E509" s="11">
        <v>32.200000000000003</v>
      </c>
      <c r="F509" s="11">
        <v>26.27</v>
      </c>
      <c r="G509" s="12">
        <v>84</v>
      </c>
      <c r="H509" s="12">
        <v>99.15</v>
      </c>
      <c r="I509" s="12">
        <f t="shared" si="102"/>
        <v>1</v>
      </c>
      <c r="J509" s="12" t="str">
        <f t="shared" si="103"/>
        <v>Không đạt</v>
      </c>
      <c r="K509" s="10"/>
      <c r="L509" s="96">
        <f t="shared" si="95"/>
        <v>58.5</v>
      </c>
      <c r="M509" s="10">
        <v>32.200000000000003</v>
      </c>
      <c r="N509" s="10">
        <v>26.3</v>
      </c>
      <c r="O509" s="12">
        <v>84</v>
      </c>
      <c r="P509" s="97">
        <v>100.00000000000001</v>
      </c>
      <c r="Q509" s="12">
        <f t="shared" si="96"/>
        <v>1</v>
      </c>
      <c r="R509" s="12" t="str">
        <f t="shared" si="97"/>
        <v>Không đạt</v>
      </c>
      <c r="S509" s="10"/>
      <c r="T509" s="95"/>
    </row>
    <row r="510" spans="1:21" s="84" customFormat="1" hidden="1" x14ac:dyDescent="0.25">
      <c r="A510" s="9" t="s">
        <v>157</v>
      </c>
      <c r="B510" s="1"/>
      <c r="C510" s="1" t="s">
        <v>297</v>
      </c>
      <c r="D510" s="15">
        <f t="shared" si="101"/>
        <v>50</v>
      </c>
      <c r="E510" s="11">
        <v>29.69</v>
      </c>
      <c r="F510" s="11">
        <v>20.309999999999999</v>
      </c>
      <c r="G510" s="12">
        <v>54</v>
      </c>
      <c r="H510" s="12">
        <v>98.46</v>
      </c>
      <c r="I510" s="12">
        <f t="shared" si="102"/>
        <v>2</v>
      </c>
      <c r="J510" s="12" t="str">
        <f t="shared" si="103"/>
        <v>Đạt</v>
      </c>
      <c r="K510" s="10"/>
      <c r="L510" s="96">
        <f t="shared" si="95"/>
        <v>50</v>
      </c>
      <c r="M510" s="10">
        <v>29.7</v>
      </c>
      <c r="N510" s="10">
        <v>20.3</v>
      </c>
      <c r="O510" s="12">
        <v>54</v>
      </c>
      <c r="P510" s="97">
        <v>100</v>
      </c>
      <c r="Q510" s="12">
        <f t="shared" si="96"/>
        <v>2</v>
      </c>
      <c r="R510" s="12" t="str">
        <f t="shared" si="97"/>
        <v>Đạt</v>
      </c>
      <c r="S510" s="10"/>
      <c r="T510" s="95"/>
    </row>
    <row r="511" spans="1:21" s="84" customFormat="1" hidden="1" x14ac:dyDescent="0.25">
      <c r="A511" s="9" t="s">
        <v>158</v>
      </c>
      <c r="B511" s="1"/>
      <c r="C511" s="1" t="s">
        <v>298</v>
      </c>
      <c r="D511" s="15">
        <f t="shared" si="101"/>
        <v>68.259999999999991</v>
      </c>
      <c r="E511" s="11">
        <v>17.47</v>
      </c>
      <c r="F511" s="11">
        <v>50.79</v>
      </c>
      <c r="G511" s="12">
        <v>46</v>
      </c>
      <c r="H511" s="12">
        <v>100</v>
      </c>
      <c r="I511" s="12">
        <f t="shared" si="102"/>
        <v>2</v>
      </c>
      <c r="J511" s="12" t="str">
        <f t="shared" si="103"/>
        <v>Đạt</v>
      </c>
      <c r="K511" s="10"/>
      <c r="L511" s="96">
        <f t="shared" si="95"/>
        <v>68.3</v>
      </c>
      <c r="M511" s="10">
        <v>17.5</v>
      </c>
      <c r="N511" s="10">
        <v>50.8</v>
      </c>
      <c r="O511" s="12">
        <v>46</v>
      </c>
      <c r="P511" s="97">
        <v>100</v>
      </c>
      <c r="Q511" s="12">
        <f t="shared" si="96"/>
        <v>2</v>
      </c>
      <c r="R511" s="12" t="str">
        <f t="shared" si="97"/>
        <v>Đạt</v>
      </c>
      <c r="S511" s="10"/>
      <c r="T511" s="95"/>
    </row>
    <row r="512" spans="1:21" s="84" customFormat="1" hidden="1" x14ac:dyDescent="0.25">
      <c r="A512" s="9" t="s">
        <v>159</v>
      </c>
      <c r="B512" s="1"/>
      <c r="C512" s="1" t="s">
        <v>299</v>
      </c>
      <c r="D512" s="15">
        <f t="shared" si="101"/>
        <v>35.94</v>
      </c>
      <c r="E512" s="11">
        <v>20.309999999999999</v>
      </c>
      <c r="F512" s="11">
        <v>15.63</v>
      </c>
      <c r="G512" s="12">
        <v>59</v>
      </c>
      <c r="H512" s="12">
        <v>100</v>
      </c>
      <c r="I512" s="12">
        <f t="shared" si="102"/>
        <v>2</v>
      </c>
      <c r="J512" s="12" t="str">
        <f t="shared" si="103"/>
        <v>Đạt</v>
      </c>
      <c r="K512" s="10"/>
      <c r="L512" s="96">
        <f t="shared" ref="L512:L568" si="104">M512+N512</f>
        <v>35.9</v>
      </c>
      <c r="M512" s="10">
        <v>20.3</v>
      </c>
      <c r="N512" s="10">
        <v>15.6</v>
      </c>
      <c r="O512" s="12">
        <v>59</v>
      </c>
      <c r="P512" s="97">
        <v>100</v>
      </c>
      <c r="Q512" s="12">
        <f t="shared" ref="Q512:Q568" si="105">SUM((IF(L512&gt;=16.24,1,0))+(IF(O512&lt;60,1,0))+(IF(P512&lt;90,1,0)))</f>
        <v>2</v>
      </c>
      <c r="R512" s="12" t="str">
        <f t="shared" ref="R512:R568" si="106">IF(Q512&gt;=2,"Đạt","Không đạt")</f>
        <v>Đạt</v>
      </c>
      <c r="S512" s="10"/>
      <c r="T512" s="95"/>
    </row>
    <row r="513" spans="1:21" s="84" customFormat="1" hidden="1" x14ac:dyDescent="0.25">
      <c r="A513" s="9" t="s">
        <v>160</v>
      </c>
      <c r="B513" s="1"/>
      <c r="C513" s="1" t="s">
        <v>300</v>
      </c>
      <c r="D513" s="15">
        <f t="shared" si="101"/>
        <v>52.873563218390807</v>
      </c>
      <c r="E513" s="11">
        <v>20.689655172413794</v>
      </c>
      <c r="F513" s="11">
        <v>32.183908045977013</v>
      </c>
      <c r="G513" s="12">
        <v>34</v>
      </c>
      <c r="H513" s="12">
        <v>100</v>
      </c>
      <c r="I513" s="12">
        <f t="shared" si="102"/>
        <v>2</v>
      </c>
      <c r="J513" s="12" t="str">
        <f t="shared" si="103"/>
        <v>Đạt</v>
      </c>
      <c r="K513" s="10"/>
      <c r="L513" s="96">
        <f t="shared" si="104"/>
        <v>52.900000000000006</v>
      </c>
      <c r="M513" s="10">
        <v>20.7</v>
      </c>
      <c r="N513" s="10">
        <v>32.200000000000003</v>
      </c>
      <c r="O513" s="12">
        <v>34</v>
      </c>
      <c r="P513" s="97">
        <v>100</v>
      </c>
      <c r="Q513" s="12">
        <f t="shared" si="105"/>
        <v>2</v>
      </c>
      <c r="R513" s="12" t="str">
        <f t="shared" si="106"/>
        <v>Đạt</v>
      </c>
      <c r="S513" s="10"/>
      <c r="T513" s="95"/>
    </row>
    <row r="514" spans="1:21" s="84" customFormat="1" hidden="1" x14ac:dyDescent="0.25">
      <c r="A514" s="9" t="s">
        <v>161</v>
      </c>
      <c r="B514" s="1"/>
      <c r="C514" s="1" t="s">
        <v>301</v>
      </c>
      <c r="D514" s="15">
        <f t="shared" si="101"/>
        <v>64.173283582089553</v>
      </c>
      <c r="E514" s="11">
        <v>32.83</v>
      </c>
      <c r="F514" s="11">
        <v>31.343283582089551</v>
      </c>
      <c r="G514" s="12">
        <v>52</v>
      </c>
      <c r="H514" s="12">
        <v>100</v>
      </c>
      <c r="I514" s="12">
        <f t="shared" si="102"/>
        <v>2</v>
      </c>
      <c r="J514" s="12" t="str">
        <f t="shared" si="103"/>
        <v>Đạt</v>
      </c>
      <c r="K514" s="10"/>
      <c r="L514" s="96">
        <f t="shared" si="104"/>
        <v>64.099999999999994</v>
      </c>
      <c r="M514" s="10">
        <v>32.799999999999997</v>
      </c>
      <c r="N514" s="10">
        <v>31.3</v>
      </c>
      <c r="O514" s="12">
        <v>52</v>
      </c>
      <c r="P514" s="97">
        <v>100</v>
      </c>
      <c r="Q514" s="12">
        <f t="shared" si="105"/>
        <v>2</v>
      </c>
      <c r="R514" s="12" t="str">
        <f t="shared" si="106"/>
        <v>Đạt</v>
      </c>
      <c r="S514" s="10"/>
      <c r="T514" s="95"/>
    </row>
    <row r="515" spans="1:21" s="84" customFormat="1" hidden="1" x14ac:dyDescent="0.25">
      <c r="A515" s="9" t="s">
        <v>162</v>
      </c>
      <c r="B515" s="1"/>
      <c r="C515" s="1" t="s">
        <v>302</v>
      </c>
      <c r="D515" s="15">
        <f t="shared" si="101"/>
        <v>64.442222222222227</v>
      </c>
      <c r="E515" s="11">
        <v>42.22</v>
      </c>
      <c r="F515" s="11">
        <v>22.222222222222221</v>
      </c>
      <c r="G515" s="12">
        <v>72</v>
      </c>
      <c r="H515" s="12">
        <v>100</v>
      </c>
      <c r="I515" s="12">
        <f t="shared" si="102"/>
        <v>1</v>
      </c>
      <c r="J515" s="12" t="str">
        <f t="shared" si="103"/>
        <v>Không đạt</v>
      </c>
      <c r="K515" s="10"/>
      <c r="L515" s="96">
        <f t="shared" si="104"/>
        <v>64.400000000000006</v>
      </c>
      <c r="M515" s="10">
        <v>42.2</v>
      </c>
      <c r="N515" s="10">
        <v>22.2</v>
      </c>
      <c r="O515" s="12">
        <v>72</v>
      </c>
      <c r="P515" s="97">
        <v>100</v>
      </c>
      <c r="Q515" s="12">
        <f t="shared" si="105"/>
        <v>1</v>
      </c>
      <c r="R515" s="12" t="str">
        <f t="shared" si="106"/>
        <v>Không đạt</v>
      </c>
      <c r="S515" s="10"/>
      <c r="T515" s="95"/>
    </row>
    <row r="516" spans="1:21" s="84" customFormat="1" hidden="1" x14ac:dyDescent="0.25">
      <c r="A516" s="9" t="s">
        <v>163</v>
      </c>
      <c r="B516" s="1"/>
      <c r="C516" s="1" t="s">
        <v>303</v>
      </c>
      <c r="D516" s="15">
        <f t="shared" si="101"/>
        <v>53.840769230769226</v>
      </c>
      <c r="E516" s="11">
        <v>24.61</v>
      </c>
      <c r="F516" s="11">
        <v>29.23076923076923</v>
      </c>
      <c r="G516" s="12">
        <v>56.999999999999993</v>
      </c>
      <c r="H516" s="12">
        <v>100</v>
      </c>
      <c r="I516" s="12">
        <f t="shared" si="102"/>
        <v>2</v>
      </c>
      <c r="J516" s="12" t="str">
        <f t="shared" si="103"/>
        <v>Đạt</v>
      </c>
      <c r="K516" s="10"/>
      <c r="L516" s="96">
        <f t="shared" si="104"/>
        <v>53.8</v>
      </c>
      <c r="M516" s="10">
        <v>24.6</v>
      </c>
      <c r="N516" s="10">
        <v>29.2</v>
      </c>
      <c r="O516" s="12">
        <v>56.999999999999993</v>
      </c>
      <c r="P516" s="97">
        <v>100</v>
      </c>
      <c r="Q516" s="12">
        <f t="shared" si="105"/>
        <v>2</v>
      </c>
      <c r="R516" s="12" t="str">
        <f t="shared" si="106"/>
        <v>Đạt</v>
      </c>
      <c r="S516" s="10"/>
      <c r="T516" s="95"/>
    </row>
    <row r="517" spans="1:21" s="84" customFormat="1" hidden="1" x14ac:dyDescent="0.25">
      <c r="A517" s="9" t="s">
        <v>164</v>
      </c>
      <c r="B517" s="1"/>
      <c r="C517" s="1" t="s">
        <v>304</v>
      </c>
      <c r="D517" s="15">
        <f t="shared" si="101"/>
        <v>66.666666666666671</v>
      </c>
      <c r="E517" s="11">
        <v>39.130434782608695</v>
      </c>
      <c r="F517" s="11">
        <v>27.536231884057973</v>
      </c>
      <c r="G517" s="12">
        <v>76</v>
      </c>
      <c r="H517" s="12">
        <v>100</v>
      </c>
      <c r="I517" s="12">
        <f t="shared" si="102"/>
        <v>1</v>
      </c>
      <c r="J517" s="12" t="str">
        <f t="shared" si="103"/>
        <v>Không đạt</v>
      </c>
      <c r="K517" s="10"/>
      <c r="L517" s="96">
        <f t="shared" si="104"/>
        <v>66.599999999999994</v>
      </c>
      <c r="M517" s="10">
        <v>39.1</v>
      </c>
      <c r="N517" s="10">
        <v>27.5</v>
      </c>
      <c r="O517" s="12">
        <v>76</v>
      </c>
      <c r="P517" s="97">
        <v>100</v>
      </c>
      <c r="Q517" s="12">
        <f t="shared" si="105"/>
        <v>1</v>
      </c>
      <c r="R517" s="12" t="str">
        <f t="shared" si="106"/>
        <v>Không đạt</v>
      </c>
      <c r="S517" s="10"/>
      <c r="T517" s="95"/>
    </row>
    <row r="518" spans="1:21" s="84" customFormat="1" hidden="1" x14ac:dyDescent="0.25">
      <c r="A518" s="9" t="s">
        <v>165</v>
      </c>
      <c r="B518" s="1"/>
      <c r="C518" s="1" t="s">
        <v>305</v>
      </c>
      <c r="D518" s="15">
        <f t="shared" si="101"/>
        <v>72.340425531914903</v>
      </c>
      <c r="E518" s="11">
        <v>59.574468085106389</v>
      </c>
      <c r="F518" s="11">
        <v>12.765957446808512</v>
      </c>
      <c r="G518" s="12">
        <v>51</v>
      </c>
      <c r="H518" s="12">
        <v>100</v>
      </c>
      <c r="I518" s="12">
        <f t="shared" si="102"/>
        <v>2</v>
      </c>
      <c r="J518" s="12" t="str">
        <f t="shared" si="103"/>
        <v>Đạt</v>
      </c>
      <c r="K518" s="10"/>
      <c r="L518" s="96">
        <f t="shared" si="104"/>
        <v>72.400000000000006</v>
      </c>
      <c r="M518" s="10">
        <v>59.6</v>
      </c>
      <c r="N518" s="10">
        <v>12.8</v>
      </c>
      <c r="O518" s="12">
        <v>51</v>
      </c>
      <c r="P518" s="97">
        <v>100</v>
      </c>
      <c r="Q518" s="12">
        <f t="shared" si="105"/>
        <v>2</v>
      </c>
      <c r="R518" s="12" t="str">
        <f t="shared" si="106"/>
        <v>Đạt</v>
      </c>
      <c r="S518" s="10"/>
      <c r="T518" s="95"/>
    </row>
    <row r="519" spans="1:21" s="84" customFormat="1" hidden="1" x14ac:dyDescent="0.25">
      <c r="A519" s="9" t="s">
        <v>166</v>
      </c>
      <c r="B519" s="1"/>
      <c r="C519" s="1" t="s">
        <v>306</v>
      </c>
      <c r="D519" s="15">
        <f t="shared" si="101"/>
        <v>69.827586206896555</v>
      </c>
      <c r="E519" s="11">
        <v>42.241379310344833</v>
      </c>
      <c r="F519" s="11">
        <v>27.586206896551726</v>
      </c>
      <c r="G519" s="12">
        <v>45</v>
      </c>
      <c r="H519" s="12">
        <v>100</v>
      </c>
      <c r="I519" s="12">
        <f t="shared" si="102"/>
        <v>2</v>
      </c>
      <c r="J519" s="12" t="str">
        <f t="shared" si="103"/>
        <v>Đạt</v>
      </c>
      <c r="K519" s="10"/>
      <c r="L519" s="96">
        <f t="shared" si="104"/>
        <v>69.800000000000011</v>
      </c>
      <c r="M519" s="10">
        <v>42.2</v>
      </c>
      <c r="N519" s="10">
        <v>27.6</v>
      </c>
      <c r="O519" s="12">
        <v>45</v>
      </c>
      <c r="P519" s="97">
        <v>100</v>
      </c>
      <c r="Q519" s="12">
        <f t="shared" si="105"/>
        <v>2</v>
      </c>
      <c r="R519" s="12" t="str">
        <f t="shared" si="106"/>
        <v>Đạt</v>
      </c>
      <c r="S519" s="10"/>
      <c r="T519" s="95"/>
    </row>
    <row r="520" spans="1:21" s="84" customFormat="1" hidden="1" x14ac:dyDescent="0.25">
      <c r="A520" s="9" t="s">
        <v>167</v>
      </c>
      <c r="B520" s="1"/>
      <c r="C520" s="1" t="s">
        <v>307</v>
      </c>
      <c r="D520" s="15">
        <f t="shared" si="101"/>
        <v>57.5</v>
      </c>
      <c r="E520" s="11">
        <v>45</v>
      </c>
      <c r="F520" s="11">
        <v>12.5</v>
      </c>
      <c r="G520" s="12">
        <v>52</v>
      </c>
      <c r="H520" s="12">
        <v>100</v>
      </c>
      <c r="I520" s="12">
        <f t="shared" si="102"/>
        <v>2</v>
      </c>
      <c r="J520" s="12" t="str">
        <f t="shared" si="103"/>
        <v>Đạt</v>
      </c>
      <c r="K520" s="10"/>
      <c r="L520" s="96">
        <f t="shared" si="104"/>
        <v>57.5</v>
      </c>
      <c r="M520" s="10">
        <v>45</v>
      </c>
      <c r="N520" s="10">
        <v>12.5</v>
      </c>
      <c r="O520" s="12">
        <v>52</v>
      </c>
      <c r="P520" s="97">
        <v>100</v>
      </c>
      <c r="Q520" s="12">
        <f t="shared" si="105"/>
        <v>2</v>
      </c>
      <c r="R520" s="12" t="str">
        <f t="shared" si="106"/>
        <v>Đạt</v>
      </c>
      <c r="S520" s="10"/>
      <c r="T520" s="95"/>
    </row>
    <row r="521" spans="1:21" s="84" customFormat="1" hidden="1" x14ac:dyDescent="0.25">
      <c r="A521" s="9" t="s">
        <v>168</v>
      </c>
      <c r="B521" s="1"/>
      <c r="C521" s="1" t="s">
        <v>308</v>
      </c>
      <c r="D521" s="15">
        <f t="shared" si="101"/>
        <v>78.260869565217391</v>
      </c>
      <c r="E521" s="11">
        <v>43.478260869565219</v>
      </c>
      <c r="F521" s="11">
        <v>34.782608695652172</v>
      </c>
      <c r="G521" s="12">
        <v>47</v>
      </c>
      <c r="H521" s="12">
        <v>100</v>
      </c>
      <c r="I521" s="12">
        <f t="shared" si="102"/>
        <v>2</v>
      </c>
      <c r="J521" s="12" t="str">
        <f t="shared" si="103"/>
        <v>Đạt</v>
      </c>
      <c r="K521" s="10"/>
      <c r="L521" s="96">
        <f t="shared" si="104"/>
        <v>78.3</v>
      </c>
      <c r="M521" s="10">
        <v>43.5</v>
      </c>
      <c r="N521" s="10">
        <v>34.799999999999997</v>
      </c>
      <c r="O521" s="12">
        <v>47</v>
      </c>
      <c r="P521" s="97">
        <v>100</v>
      </c>
      <c r="Q521" s="12">
        <f t="shared" si="105"/>
        <v>2</v>
      </c>
      <c r="R521" s="12" t="str">
        <f t="shared" si="106"/>
        <v>Đạt</v>
      </c>
      <c r="S521" s="10"/>
      <c r="T521" s="95"/>
    </row>
    <row r="522" spans="1:21" s="84" customFormat="1" hidden="1" x14ac:dyDescent="0.25">
      <c r="A522" s="9" t="s">
        <v>169</v>
      </c>
      <c r="B522" s="1"/>
      <c r="C522" s="1" t="s">
        <v>309</v>
      </c>
      <c r="D522" s="15">
        <f t="shared" si="101"/>
        <v>67.441860465116278</v>
      </c>
      <c r="E522" s="11">
        <v>33.720930232558139</v>
      </c>
      <c r="F522" s="11">
        <v>33.720930232558139</v>
      </c>
      <c r="G522" s="12">
        <v>64</v>
      </c>
      <c r="H522" s="12">
        <v>100</v>
      </c>
      <c r="I522" s="12">
        <f>SUM((IF(D522&gt;=16.24,1,0))+(IF(G522&lt;60,1,0))+(IF(H522&lt;90,1,0)))</f>
        <v>1</v>
      </c>
      <c r="J522" s="12" t="str">
        <f>IF(I522&gt;=2,"Đạt","Không đạt")</f>
        <v>Không đạt</v>
      </c>
      <c r="K522" s="10"/>
      <c r="L522" s="96">
        <f t="shared" si="104"/>
        <v>67.400000000000006</v>
      </c>
      <c r="M522" s="10">
        <v>33.700000000000003</v>
      </c>
      <c r="N522" s="10">
        <v>33.700000000000003</v>
      </c>
      <c r="O522" s="12">
        <v>64</v>
      </c>
      <c r="P522" s="97">
        <v>100</v>
      </c>
      <c r="Q522" s="12">
        <f t="shared" si="105"/>
        <v>1</v>
      </c>
      <c r="R522" s="12" t="str">
        <f t="shared" si="106"/>
        <v>Không đạt</v>
      </c>
      <c r="S522" s="10"/>
      <c r="T522" s="95"/>
    </row>
    <row r="523" spans="1:21" s="84" customFormat="1" hidden="1" x14ac:dyDescent="0.25">
      <c r="A523" s="9" t="s">
        <v>170</v>
      </c>
      <c r="B523" s="1"/>
      <c r="C523" s="1" t="s">
        <v>310</v>
      </c>
      <c r="D523" s="15">
        <f t="shared" si="101"/>
        <v>68.75</v>
      </c>
      <c r="E523" s="11">
        <v>48.4375</v>
      </c>
      <c r="F523" s="11">
        <v>20.3125</v>
      </c>
      <c r="G523" s="12">
        <v>43</v>
      </c>
      <c r="H523" s="12">
        <v>100</v>
      </c>
      <c r="I523" s="12">
        <f t="shared" si="102"/>
        <v>2</v>
      </c>
      <c r="J523" s="12" t="str">
        <f t="shared" si="103"/>
        <v>Đạt</v>
      </c>
      <c r="K523" s="10"/>
      <c r="L523" s="96">
        <f t="shared" si="104"/>
        <v>68.7</v>
      </c>
      <c r="M523" s="10">
        <v>48.4</v>
      </c>
      <c r="N523" s="10">
        <v>20.3</v>
      </c>
      <c r="O523" s="12">
        <v>43</v>
      </c>
      <c r="P523" s="97">
        <v>100</v>
      </c>
      <c r="Q523" s="12">
        <f t="shared" si="105"/>
        <v>2</v>
      </c>
      <c r="R523" s="12" t="str">
        <f t="shared" si="106"/>
        <v>Đạt</v>
      </c>
      <c r="S523" s="10"/>
      <c r="T523" s="95"/>
    </row>
    <row r="524" spans="1:21" s="84" customFormat="1" hidden="1" x14ac:dyDescent="0.25">
      <c r="A524" s="9" t="s">
        <v>171</v>
      </c>
      <c r="B524" s="1"/>
      <c r="C524" s="1" t="s">
        <v>311</v>
      </c>
      <c r="D524" s="15">
        <f t="shared" si="101"/>
        <v>63.825106382978731</v>
      </c>
      <c r="E524" s="11">
        <v>45.74</v>
      </c>
      <c r="F524" s="11">
        <v>18.085106382978726</v>
      </c>
      <c r="G524" s="12">
        <v>56.999999999999993</v>
      </c>
      <c r="H524" s="12">
        <v>100</v>
      </c>
      <c r="I524" s="12">
        <f t="shared" si="102"/>
        <v>2</v>
      </c>
      <c r="J524" s="12" t="str">
        <f t="shared" si="103"/>
        <v>Đạt</v>
      </c>
      <c r="K524" s="10"/>
      <c r="L524" s="96">
        <f t="shared" si="104"/>
        <v>63.800000000000004</v>
      </c>
      <c r="M524" s="10">
        <v>45.7</v>
      </c>
      <c r="N524" s="10">
        <v>18.100000000000001</v>
      </c>
      <c r="O524" s="12">
        <v>56.999999999999993</v>
      </c>
      <c r="P524" s="97">
        <v>100</v>
      </c>
      <c r="Q524" s="12">
        <f t="shared" si="105"/>
        <v>2</v>
      </c>
      <c r="R524" s="12" t="str">
        <f t="shared" si="106"/>
        <v>Đạt</v>
      </c>
      <c r="S524" s="10"/>
      <c r="T524" s="95"/>
    </row>
    <row r="525" spans="1:21" s="84" customFormat="1" hidden="1" x14ac:dyDescent="0.25">
      <c r="A525" s="9" t="s">
        <v>172</v>
      </c>
      <c r="B525" s="1"/>
      <c r="C525" s="1" t="s">
        <v>312</v>
      </c>
      <c r="D525" s="15">
        <f t="shared" si="101"/>
        <v>62.765957446808514</v>
      </c>
      <c r="E525" s="11">
        <v>48.936170212765958</v>
      </c>
      <c r="F525" s="11">
        <v>13.829787234042554</v>
      </c>
      <c r="G525" s="12">
        <v>48</v>
      </c>
      <c r="H525" s="12">
        <v>98.95</v>
      </c>
      <c r="I525" s="12">
        <f t="shared" si="102"/>
        <v>2</v>
      </c>
      <c r="J525" s="12" t="str">
        <f t="shared" si="103"/>
        <v>Đạt</v>
      </c>
      <c r="K525" s="10"/>
      <c r="L525" s="96">
        <f t="shared" si="104"/>
        <v>62.7</v>
      </c>
      <c r="M525" s="10">
        <v>48.9</v>
      </c>
      <c r="N525" s="10">
        <v>13.8</v>
      </c>
      <c r="O525" s="12">
        <v>48</v>
      </c>
      <c r="P525" s="97">
        <v>100</v>
      </c>
      <c r="Q525" s="12">
        <f t="shared" si="105"/>
        <v>2</v>
      </c>
      <c r="R525" s="12" t="str">
        <f t="shared" si="106"/>
        <v>Đạt</v>
      </c>
      <c r="S525" s="10"/>
      <c r="T525" s="95"/>
    </row>
    <row r="526" spans="1:21" s="95" customFormat="1" hidden="1" x14ac:dyDescent="0.25">
      <c r="A526" s="5" t="s">
        <v>419</v>
      </c>
      <c r="B526" s="6" t="s">
        <v>130</v>
      </c>
      <c r="C526" s="6"/>
      <c r="D526" s="8"/>
      <c r="E526" s="103"/>
      <c r="F526" s="103"/>
      <c r="G526" s="8"/>
      <c r="H526" s="8"/>
      <c r="I526" s="8"/>
      <c r="J526" s="8"/>
      <c r="K526" s="48">
        <f>COUNTIF(J527:J540,"Đạt")</f>
        <v>14</v>
      </c>
      <c r="L526" s="101">
        <f t="shared" si="104"/>
        <v>0</v>
      </c>
      <c r="M526" s="7"/>
      <c r="N526" s="7"/>
      <c r="O526" s="8"/>
      <c r="P526" s="102"/>
      <c r="Q526" s="77"/>
      <c r="R526" s="77"/>
      <c r="S526" s="48"/>
      <c r="T526" s="94"/>
      <c r="U526" s="84"/>
    </row>
    <row r="527" spans="1:21" s="95" customFormat="1" hidden="1" x14ac:dyDescent="0.25">
      <c r="A527" s="9" t="s">
        <v>148</v>
      </c>
      <c r="B527" s="13"/>
      <c r="C527" s="1" t="s">
        <v>293</v>
      </c>
      <c r="D527" s="15">
        <f>E527+F527</f>
        <v>76.930000000000007</v>
      </c>
      <c r="E527" s="11">
        <v>28.85</v>
      </c>
      <c r="F527" s="11">
        <v>48.08</v>
      </c>
      <c r="G527" s="15">
        <v>58.82</v>
      </c>
      <c r="H527" s="15">
        <v>100</v>
      </c>
      <c r="I527" s="12">
        <f>SUM((IF(D527&gt;=16.24,1,0))+(IF(G527&lt;60,1,0))+(IF(H527&lt;90,1,0)))</f>
        <v>2</v>
      </c>
      <c r="J527" s="12" t="str">
        <f t="shared" ref="J527:J540" si="107">IF(I527&gt;=2,"Đạt","Không đạt")</f>
        <v>Đạt</v>
      </c>
      <c r="K527" s="14"/>
      <c r="L527" s="96">
        <f t="shared" si="104"/>
        <v>76.02</v>
      </c>
      <c r="M527" s="10">
        <v>28.9</v>
      </c>
      <c r="N527" s="10">
        <v>47.12</v>
      </c>
      <c r="O527" s="15">
        <v>58.82</v>
      </c>
      <c r="P527" s="97">
        <v>100</v>
      </c>
      <c r="Q527" s="12">
        <f t="shared" si="105"/>
        <v>2</v>
      </c>
      <c r="R527" s="12" t="str">
        <f t="shared" si="106"/>
        <v>Đạt</v>
      </c>
      <c r="S527" s="14"/>
      <c r="U527" s="84"/>
    </row>
    <row r="528" spans="1:21" s="95" customFormat="1" hidden="1" x14ac:dyDescent="0.25">
      <c r="A528" s="9" t="s">
        <v>149</v>
      </c>
      <c r="B528" s="13"/>
      <c r="C528" s="1" t="s">
        <v>407</v>
      </c>
      <c r="D528" s="15">
        <f t="shared" ref="D528:D568" si="108">E528+F528</f>
        <v>79.240000000000009</v>
      </c>
      <c r="E528" s="11">
        <v>36.79</v>
      </c>
      <c r="F528" s="11">
        <v>42.45</v>
      </c>
      <c r="G528" s="15">
        <v>57.14</v>
      </c>
      <c r="H528" s="15">
        <v>98.095238095238102</v>
      </c>
      <c r="I528" s="12">
        <f t="shared" ref="I528:I540" si="109">SUM((IF(D528&gt;=16.24,1,0))+(IF(G528&lt;60,1,0))+(IF(H528&lt;90,1,0)))</f>
        <v>2</v>
      </c>
      <c r="J528" s="12" t="str">
        <f t="shared" si="107"/>
        <v>Đạt</v>
      </c>
      <c r="K528" s="14"/>
      <c r="L528" s="96">
        <f t="shared" si="104"/>
        <v>80.199999999999989</v>
      </c>
      <c r="M528" s="10">
        <v>36.799999999999997</v>
      </c>
      <c r="N528" s="10">
        <v>43.4</v>
      </c>
      <c r="O528" s="15">
        <v>57.14</v>
      </c>
      <c r="P528" s="97">
        <v>98.095238095238102</v>
      </c>
      <c r="Q528" s="12">
        <f t="shared" si="105"/>
        <v>2</v>
      </c>
      <c r="R528" s="12" t="str">
        <f t="shared" si="106"/>
        <v>Đạt</v>
      </c>
      <c r="S528" s="14"/>
      <c r="U528" s="84"/>
    </row>
    <row r="529" spans="1:21" s="95" customFormat="1" hidden="1" x14ac:dyDescent="0.25">
      <c r="A529" s="9" t="s">
        <v>150</v>
      </c>
      <c r="B529" s="13"/>
      <c r="C529" s="1" t="s">
        <v>408</v>
      </c>
      <c r="D529" s="15">
        <f t="shared" si="108"/>
        <v>65.259999999999991</v>
      </c>
      <c r="E529" s="11">
        <v>41.05</v>
      </c>
      <c r="F529" s="11">
        <v>24.21</v>
      </c>
      <c r="G529" s="15">
        <v>12.16</v>
      </c>
      <c r="H529" s="15">
        <v>100</v>
      </c>
      <c r="I529" s="12">
        <f t="shared" si="109"/>
        <v>2</v>
      </c>
      <c r="J529" s="12" t="str">
        <f t="shared" si="107"/>
        <v>Đạt</v>
      </c>
      <c r="K529" s="14"/>
      <c r="L529" s="96">
        <f t="shared" si="104"/>
        <v>65.3</v>
      </c>
      <c r="M529" s="10">
        <v>41.1</v>
      </c>
      <c r="N529" s="10">
        <v>24.2</v>
      </c>
      <c r="O529" s="15">
        <v>12.16</v>
      </c>
      <c r="P529" s="97">
        <v>100</v>
      </c>
      <c r="Q529" s="12">
        <f t="shared" si="105"/>
        <v>2</v>
      </c>
      <c r="R529" s="12" t="str">
        <f t="shared" si="106"/>
        <v>Đạt</v>
      </c>
      <c r="S529" s="14"/>
      <c r="U529" s="84"/>
    </row>
    <row r="530" spans="1:21" s="95" customFormat="1" hidden="1" x14ac:dyDescent="0.25">
      <c r="A530" s="9" t="s">
        <v>151</v>
      </c>
      <c r="B530" s="13"/>
      <c r="C530" s="1" t="s">
        <v>409</v>
      </c>
      <c r="D530" s="15">
        <f t="shared" si="108"/>
        <v>52.64</v>
      </c>
      <c r="E530" s="11">
        <v>26.32</v>
      </c>
      <c r="F530" s="11">
        <v>26.32</v>
      </c>
      <c r="G530" s="15">
        <v>57.89</v>
      </c>
      <c r="H530" s="15">
        <v>100</v>
      </c>
      <c r="I530" s="12">
        <f t="shared" si="109"/>
        <v>2</v>
      </c>
      <c r="J530" s="12" t="str">
        <f t="shared" si="107"/>
        <v>Đạt</v>
      </c>
      <c r="K530" s="14"/>
      <c r="L530" s="96">
        <f t="shared" si="104"/>
        <v>52.6</v>
      </c>
      <c r="M530" s="10">
        <v>26.3</v>
      </c>
      <c r="N530" s="10">
        <v>26.3</v>
      </c>
      <c r="O530" s="15">
        <v>57.89</v>
      </c>
      <c r="P530" s="97">
        <v>100</v>
      </c>
      <c r="Q530" s="12">
        <f t="shared" si="105"/>
        <v>2</v>
      </c>
      <c r="R530" s="12" t="str">
        <f t="shared" si="106"/>
        <v>Đạt</v>
      </c>
      <c r="S530" s="14"/>
      <c r="U530" s="84"/>
    </row>
    <row r="531" spans="1:21" s="95" customFormat="1" hidden="1" x14ac:dyDescent="0.25">
      <c r="A531" s="9" t="s">
        <v>152</v>
      </c>
      <c r="B531" s="13"/>
      <c r="C531" s="1" t="s">
        <v>410</v>
      </c>
      <c r="D531" s="15">
        <f t="shared" si="108"/>
        <v>67.009999999999991</v>
      </c>
      <c r="E531" s="11">
        <v>49.48</v>
      </c>
      <c r="F531" s="11">
        <v>17.53</v>
      </c>
      <c r="G531" s="15">
        <v>55</v>
      </c>
      <c r="H531" s="15">
        <v>97.9381443298969</v>
      </c>
      <c r="I531" s="12">
        <f t="shared" si="109"/>
        <v>2</v>
      </c>
      <c r="J531" s="12" t="str">
        <f t="shared" si="107"/>
        <v>Đạt</v>
      </c>
      <c r="K531" s="14"/>
      <c r="L531" s="96">
        <f t="shared" si="104"/>
        <v>67</v>
      </c>
      <c r="M531" s="10">
        <v>49.5</v>
      </c>
      <c r="N531" s="10">
        <v>17.5</v>
      </c>
      <c r="O531" s="15">
        <v>55</v>
      </c>
      <c r="P531" s="97">
        <v>97.9381443298969</v>
      </c>
      <c r="Q531" s="12">
        <f t="shared" si="105"/>
        <v>2</v>
      </c>
      <c r="R531" s="12" t="str">
        <f t="shared" si="106"/>
        <v>Đạt</v>
      </c>
      <c r="S531" s="14"/>
      <c r="U531" s="84"/>
    </row>
    <row r="532" spans="1:21" s="95" customFormat="1" hidden="1" x14ac:dyDescent="0.25">
      <c r="A532" s="9" t="s">
        <v>153</v>
      </c>
      <c r="B532" s="13"/>
      <c r="C532" s="1" t="s">
        <v>411</v>
      </c>
      <c r="D532" s="15">
        <f t="shared" si="108"/>
        <v>70.239999999999995</v>
      </c>
      <c r="E532" s="11">
        <v>44.05</v>
      </c>
      <c r="F532" s="11">
        <v>26.19</v>
      </c>
      <c r="G532" s="15">
        <v>57.14</v>
      </c>
      <c r="H532" s="15">
        <v>100</v>
      </c>
      <c r="I532" s="12">
        <f t="shared" si="109"/>
        <v>2</v>
      </c>
      <c r="J532" s="12" t="str">
        <f t="shared" si="107"/>
        <v>Đạt</v>
      </c>
      <c r="K532" s="14"/>
      <c r="L532" s="96">
        <f t="shared" si="104"/>
        <v>70.3</v>
      </c>
      <c r="M532" s="10">
        <v>44.1</v>
      </c>
      <c r="N532" s="10">
        <v>26.2</v>
      </c>
      <c r="O532" s="15">
        <v>57.14</v>
      </c>
      <c r="P532" s="97">
        <v>100</v>
      </c>
      <c r="Q532" s="12">
        <f t="shared" si="105"/>
        <v>2</v>
      </c>
      <c r="R532" s="12" t="str">
        <f t="shared" si="106"/>
        <v>Đạt</v>
      </c>
      <c r="S532" s="14"/>
      <c r="U532" s="84"/>
    </row>
    <row r="533" spans="1:21" s="95" customFormat="1" hidden="1" x14ac:dyDescent="0.25">
      <c r="A533" s="9" t="s">
        <v>154</v>
      </c>
      <c r="B533" s="13"/>
      <c r="C533" s="1" t="s">
        <v>412</v>
      </c>
      <c r="D533" s="15">
        <f t="shared" si="108"/>
        <v>44.927536231884062</v>
      </c>
      <c r="E533" s="11">
        <v>27.536231884057973</v>
      </c>
      <c r="F533" s="11">
        <v>17.391304347826086</v>
      </c>
      <c r="G533" s="15">
        <v>58.06</v>
      </c>
      <c r="H533" s="15">
        <v>100</v>
      </c>
      <c r="I533" s="12">
        <f t="shared" si="109"/>
        <v>2</v>
      </c>
      <c r="J533" s="12" t="str">
        <f t="shared" si="107"/>
        <v>Đạt</v>
      </c>
      <c r="K533" s="14"/>
      <c r="L533" s="96">
        <f t="shared" si="104"/>
        <v>44.9</v>
      </c>
      <c r="M533" s="10">
        <v>27.5</v>
      </c>
      <c r="N533" s="10">
        <v>17.399999999999999</v>
      </c>
      <c r="O533" s="15">
        <v>58.06</v>
      </c>
      <c r="P533" s="97">
        <v>100</v>
      </c>
      <c r="Q533" s="12">
        <f t="shared" si="105"/>
        <v>2</v>
      </c>
      <c r="R533" s="12" t="str">
        <f t="shared" si="106"/>
        <v>Đạt</v>
      </c>
      <c r="S533" s="14"/>
      <c r="U533" s="84"/>
    </row>
    <row r="534" spans="1:21" s="95" customFormat="1" hidden="1" x14ac:dyDescent="0.25">
      <c r="A534" s="9" t="s">
        <v>155</v>
      </c>
      <c r="B534" s="13"/>
      <c r="C534" s="1" t="s">
        <v>413</v>
      </c>
      <c r="D534" s="15">
        <f t="shared" si="108"/>
        <v>53.571428571428569</v>
      </c>
      <c r="E534" s="11">
        <v>32.142857142857146</v>
      </c>
      <c r="F534" s="11">
        <v>21.428571428571427</v>
      </c>
      <c r="G534" s="15">
        <v>58.33</v>
      </c>
      <c r="H534" s="15">
        <v>98.214285714285708</v>
      </c>
      <c r="I534" s="12">
        <f t="shared" si="109"/>
        <v>2</v>
      </c>
      <c r="J534" s="12" t="str">
        <f t="shared" si="107"/>
        <v>Đạt</v>
      </c>
      <c r="K534" s="14"/>
      <c r="L534" s="96">
        <f t="shared" si="104"/>
        <v>53.5</v>
      </c>
      <c r="M534" s="10">
        <v>32.1</v>
      </c>
      <c r="N534" s="10">
        <v>21.4</v>
      </c>
      <c r="O534" s="15">
        <v>58.33</v>
      </c>
      <c r="P534" s="97">
        <v>98.214285714285708</v>
      </c>
      <c r="Q534" s="12">
        <f t="shared" si="105"/>
        <v>2</v>
      </c>
      <c r="R534" s="12" t="str">
        <f t="shared" si="106"/>
        <v>Đạt</v>
      </c>
      <c r="S534" s="14"/>
      <c r="U534" s="84"/>
    </row>
    <row r="535" spans="1:21" s="95" customFormat="1" hidden="1" x14ac:dyDescent="0.25">
      <c r="A535" s="9" t="s">
        <v>156</v>
      </c>
      <c r="B535" s="13"/>
      <c r="C535" s="1" t="s">
        <v>414</v>
      </c>
      <c r="D535" s="15">
        <f t="shared" si="108"/>
        <v>75</v>
      </c>
      <c r="E535" s="11">
        <v>48</v>
      </c>
      <c r="F535" s="11">
        <v>27</v>
      </c>
      <c r="G535" s="15">
        <v>58.82</v>
      </c>
      <c r="H535" s="15">
        <v>99</v>
      </c>
      <c r="I535" s="12">
        <f t="shared" si="109"/>
        <v>2</v>
      </c>
      <c r="J535" s="12" t="str">
        <f t="shared" si="107"/>
        <v>Đạt</v>
      </c>
      <c r="K535" s="14"/>
      <c r="L535" s="96">
        <f t="shared" si="104"/>
        <v>75</v>
      </c>
      <c r="M535" s="10">
        <v>48</v>
      </c>
      <c r="N535" s="10">
        <v>27</v>
      </c>
      <c r="O535" s="15">
        <v>58.82</v>
      </c>
      <c r="P535" s="97">
        <v>99</v>
      </c>
      <c r="Q535" s="12">
        <f t="shared" si="105"/>
        <v>2</v>
      </c>
      <c r="R535" s="12" t="str">
        <f t="shared" si="106"/>
        <v>Đạt</v>
      </c>
      <c r="S535" s="14"/>
      <c r="U535" s="84"/>
    </row>
    <row r="536" spans="1:21" s="95" customFormat="1" hidden="1" x14ac:dyDescent="0.25">
      <c r="A536" s="9" t="s">
        <v>157</v>
      </c>
      <c r="B536" s="13"/>
      <c r="C536" s="1" t="s">
        <v>415</v>
      </c>
      <c r="D536" s="15">
        <f t="shared" si="108"/>
        <v>79.787234042553195</v>
      </c>
      <c r="E536" s="11">
        <v>47.872340425531917</v>
      </c>
      <c r="F536" s="11">
        <v>31.914893617021278</v>
      </c>
      <c r="G536" s="15">
        <v>57.14</v>
      </c>
      <c r="H536" s="15">
        <v>100</v>
      </c>
      <c r="I536" s="12">
        <f t="shared" si="109"/>
        <v>2</v>
      </c>
      <c r="J536" s="12" t="str">
        <f t="shared" si="107"/>
        <v>Đạt</v>
      </c>
      <c r="K536" s="14"/>
      <c r="L536" s="96">
        <f t="shared" si="104"/>
        <v>79.8</v>
      </c>
      <c r="M536" s="10">
        <v>47.9</v>
      </c>
      <c r="N536" s="10">
        <v>31.9</v>
      </c>
      <c r="O536" s="15">
        <v>57.14</v>
      </c>
      <c r="P536" s="97">
        <v>100</v>
      </c>
      <c r="Q536" s="12">
        <f t="shared" si="105"/>
        <v>2</v>
      </c>
      <c r="R536" s="12" t="str">
        <f t="shared" si="106"/>
        <v>Đạt</v>
      </c>
      <c r="S536" s="14"/>
      <c r="U536" s="84"/>
    </row>
    <row r="537" spans="1:21" s="95" customFormat="1" hidden="1" x14ac:dyDescent="0.25">
      <c r="A537" s="9" t="s">
        <v>158</v>
      </c>
      <c r="B537" s="13"/>
      <c r="C537" s="1" t="s">
        <v>334</v>
      </c>
      <c r="D537" s="15">
        <f t="shared" si="108"/>
        <v>88.636363636363626</v>
      </c>
      <c r="E537" s="11">
        <v>50</v>
      </c>
      <c r="F537" s="11">
        <v>38.636363636363633</v>
      </c>
      <c r="G537" s="15">
        <v>58.57</v>
      </c>
      <c r="H537" s="15">
        <v>98.86363636363636</v>
      </c>
      <c r="I537" s="12">
        <f t="shared" si="109"/>
        <v>2</v>
      </c>
      <c r="J537" s="12" t="str">
        <f t="shared" si="107"/>
        <v>Đạt</v>
      </c>
      <c r="K537" s="14"/>
      <c r="L537" s="96">
        <f t="shared" si="104"/>
        <v>88.6</v>
      </c>
      <c r="M537" s="10">
        <v>50</v>
      </c>
      <c r="N537" s="10">
        <v>38.6</v>
      </c>
      <c r="O537" s="15">
        <v>58.57</v>
      </c>
      <c r="P537" s="97">
        <v>100</v>
      </c>
      <c r="Q537" s="12">
        <f t="shared" si="105"/>
        <v>2</v>
      </c>
      <c r="R537" s="12" t="str">
        <f t="shared" si="106"/>
        <v>Đạt</v>
      </c>
      <c r="S537" s="14"/>
      <c r="U537" s="84"/>
    </row>
    <row r="538" spans="1:21" s="95" customFormat="1" hidden="1" x14ac:dyDescent="0.25">
      <c r="A538" s="9" t="s">
        <v>159</v>
      </c>
      <c r="B538" s="13"/>
      <c r="C538" s="1" t="s">
        <v>416</v>
      </c>
      <c r="D538" s="15">
        <f t="shared" si="108"/>
        <v>74.603174603174594</v>
      </c>
      <c r="E538" s="11">
        <v>42.857142857142854</v>
      </c>
      <c r="F538" s="11">
        <v>31.746031746031743</v>
      </c>
      <c r="G538" s="15">
        <v>58.14</v>
      </c>
      <c r="H538" s="15">
        <v>92.063492063492063</v>
      </c>
      <c r="I538" s="12">
        <f t="shared" si="109"/>
        <v>2</v>
      </c>
      <c r="J538" s="12" t="str">
        <f t="shared" si="107"/>
        <v>Đạt</v>
      </c>
      <c r="K538" s="14"/>
      <c r="L538" s="96">
        <f t="shared" si="104"/>
        <v>74.599999999999994</v>
      </c>
      <c r="M538" s="10">
        <v>42.9</v>
      </c>
      <c r="N538" s="10">
        <v>31.7</v>
      </c>
      <c r="O538" s="15">
        <v>58.14</v>
      </c>
      <c r="P538" s="97">
        <v>98.4</v>
      </c>
      <c r="Q538" s="12">
        <f t="shared" si="105"/>
        <v>2</v>
      </c>
      <c r="R538" s="12" t="str">
        <f t="shared" si="106"/>
        <v>Đạt</v>
      </c>
      <c r="S538" s="14"/>
      <c r="U538" s="84"/>
    </row>
    <row r="539" spans="1:21" s="95" customFormat="1" hidden="1" x14ac:dyDescent="0.25">
      <c r="A539" s="9" t="s">
        <v>160</v>
      </c>
      <c r="B539" s="13"/>
      <c r="C539" s="1" t="s">
        <v>417</v>
      </c>
      <c r="D539" s="15">
        <f t="shared" si="108"/>
        <v>57.377049180327866</v>
      </c>
      <c r="E539" s="11">
        <v>47.540983606557376</v>
      </c>
      <c r="F539" s="11">
        <v>9.8360655737704921</v>
      </c>
      <c r="G539" s="15">
        <v>58.18</v>
      </c>
      <c r="H539" s="15">
        <v>100</v>
      </c>
      <c r="I539" s="12">
        <f t="shared" si="109"/>
        <v>2</v>
      </c>
      <c r="J539" s="12" t="str">
        <f t="shared" si="107"/>
        <v>Đạt</v>
      </c>
      <c r="K539" s="14"/>
      <c r="L539" s="96">
        <f t="shared" si="104"/>
        <v>57.3</v>
      </c>
      <c r="M539" s="10">
        <v>47.5</v>
      </c>
      <c r="N539" s="10">
        <v>9.8000000000000007</v>
      </c>
      <c r="O539" s="15">
        <v>58.18</v>
      </c>
      <c r="P539" s="97">
        <v>100</v>
      </c>
      <c r="Q539" s="12">
        <f t="shared" si="105"/>
        <v>2</v>
      </c>
      <c r="R539" s="12" t="str">
        <f t="shared" si="106"/>
        <v>Đạt</v>
      </c>
      <c r="S539" s="14"/>
      <c r="U539" s="84"/>
    </row>
    <row r="540" spans="1:21" s="95" customFormat="1" hidden="1" x14ac:dyDescent="0.25">
      <c r="A540" s="9" t="s">
        <v>161</v>
      </c>
      <c r="B540" s="13"/>
      <c r="C540" s="1" t="s">
        <v>418</v>
      </c>
      <c r="D540" s="15">
        <f t="shared" si="108"/>
        <v>71.929824561403507</v>
      </c>
      <c r="E540" s="11">
        <v>29.82456140350877</v>
      </c>
      <c r="F540" s="11">
        <v>42.105263157894733</v>
      </c>
      <c r="G540" s="15">
        <v>58.33</v>
      </c>
      <c r="H540" s="15">
        <v>100</v>
      </c>
      <c r="I540" s="12">
        <f t="shared" si="109"/>
        <v>2</v>
      </c>
      <c r="J540" s="12" t="str">
        <f t="shared" si="107"/>
        <v>Đạt</v>
      </c>
      <c r="K540" s="14"/>
      <c r="L540" s="96">
        <f t="shared" si="104"/>
        <v>71.900000000000006</v>
      </c>
      <c r="M540" s="10">
        <v>29.8</v>
      </c>
      <c r="N540" s="10">
        <v>42.1</v>
      </c>
      <c r="O540" s="15">
        <v>58.33</v>
      </c>
      <c r="P540" s="97">
        <v>98.3</v>
      </c>
      <c r="Q540" s="12">
        <f t="shared" si="105"/>
        <v>2</v>
      </c>
      <c r="R540" s="12" t="str">
        <f t="shared" si="106"/>
        <v>Đạt</v>
      </c>
      <c r="S540" s="14"/>
      <c r="U540" s="84"/>
    </row>
    <row r="541" spans="1:21" s="109" customFormat="1" ht="28.5" customHeight="1" x14ac:dyDescent="0.25">
      <c r="A541" s="63" t="s">
        <v>511</v>
      </c>
      <c r="B541" s="64" t="s">
        <v>131</v>
      </c>
      <c r="C541" s="64"/>
      <c r="D541" s="66"/>
      <c r="E541" s="106"/>
      <c r="F541" s="106"/>
      <c r="G541" s="66"/>
      <c r="H541" s="66"/>
      <c r="I541" s="69"/>
      <c r="J541" s="69"/>
      <c r="K541" s="68">
        <f>COUNTIF(J542:J568,"Đạt")</f>
        <v>21</v>
      </c>
      <c r="L541" s="107">
        <f t="shared" si="104"/>
        <v>0</v>
      </c>
      <c r="M541" s="65"/>
      <c r="N541" s="65"/>
      <c r="O541" s="66"/>
      <c r="P541" s="108"/>
      <c r="Q541" s="69"/>
      <c r="R541" s="69"/>
      <c r="S541" s="68" t="s">
        <v>1198</v>
      </c>
      <c r="U541" s="84"/>
    </row>
    <row r="542" spans="1:21" s="84" customFormat="1" hidden="1" x14ac:dyDescent="0.25">
      <c r="A542" s="9" t="s">
        <v>148</v>
      </c>
      <c r="B542" s="1"/>
      <c r="C542" s="1" t="s">
        <v>512</v>
      </c>
      <c r="D542" s="15">
        <f t="shared" si="108"/>
        <v>26.130000000000003</v>
      </c>
      <c r="E542" s="83">
        <v>18.920000000000002</v>
      </c>
      <c r="F542" s="83">
        <v>7.21</v>
      </c>
      <c r="G542" s="12">
        <v>38</v>
      </c>
      <c r="H542" s="12">
        <v>100</v>
      </c>
      <c r="I542" s="12">
        <f>SUM((IF(D542&gt;=16.24,1,0))+(IF(G542&lt;60,1,0))+(IF(H542&lt;90,1,0)))</f>
        <v>2</v>
      </c>
      <c r="J542" s="12" t="str">
        <f>IF(I542&gt;=2,"Đạt","Không đạt")</f>
        <v>Đạt</v>
      </c>
      <c r="K542" s="10"/>
      <c r="L542" s="96">
        <f t="shared" si="104"/>
        <v>26.130000000000003</v>
      </c>
      <c r="M542" s="10">
        <v>18.920000000000002</v>
      </c>
      <c r="N542" s="10">
        <v>7.21</v>
      </c>
      <c r="O542" s="12">
        <v>38</v>
      </c>
      <c r="P542" s="97">
        <v>91.269841269841265</v>
      </c>
      <c r="Q542" s="12">
        <f t="shared" si="105"/>
        <v>2</v>
      </c>
      <c r="R542" s="12" t="str">
        <f t="shared" si="106"/>
        <v>Đạt</v>
      </c>
      <c r="S542" s="10"/>
      <c r="T542" s="95"/>
    </row>
    <row r="543" spans="1:21" s="84" customFormat="1" hidden="1" x14ac:dyDescent="0.25">
      <c r="A543" s="9" t="s">
        <v>149</v>
      </c>
      <c r="B543" s="1"/>
      <c r="C543" s="1" t="s">
        <v>513</v>
      </c>
      <c r="D543" s="15">
        <f t="shared" si="108"/>
        <v>36.049999999999997</v>
      </c>
      <c r="E543" s="83">
        <v>20.93</v>
      </c>
      <c r="F543" s="83">
        <v>15.12</v>
      </c>
      <c r="G543" s="12">
        <v>34.200000000000003</v>
      </c>
      <c r="H543" s="12">
        <v>93.26</v>
      </c>
      <c r="I543" s="12">
        <f t="shared" ref="I543:I568" si="110">SUM((IF(D543&gt;=16.24,1,0))+(IF(G543&lt;60,1,0))+(IF(H543&lt;90,1,0)))</f>
        <v>2</v>
      </c>
      <c r="J543" s="12" t="str">
        <f t="shared" ref="J543:J568" si="111">IF(I543&gt;=2,"Đạt","Không đạt")</f>
        <v>Đạt</v>
      </c>
      <c r="K543" s="10"/>
      <c r="L543" s="96">
        <f t="shared" si="104"/>
        <v>36.049999999999997</v>
      </c>
      <c r="M543" s="10">
        <v>20.93</v>
      </c>
      <c r="N543" s="10">
        <v>15.12</v>
      </c>
      <c r="O543" s="12">
        <v>34.200000000000003</v>
      </c>
      <c r="P543" s="97">
        <v>79.365079365079367</v>
      </c>
      <c r="Q543" s="12">
        <f t="shared" si="105"/>
        <v>3</v>
      </c>
      <c r="R543" s="12" t="str">
        <f t="shared" si="106"/>
        <v>Đạt</v>
      </c>
      <c r="S543" s="10"/>
      <c r="T543" s="95"/>
    </row>
    <row r="544" spans="1:21" s="84" customFormat="1" hidden="1" x14ac:dyDescent="0.25">
      <c r="A544" s="9" t="s">
        <v>150</v>
      </c>
      <c r="B544" s="1"/>
      <c r="C544" s="1" t="s">
        <v>514</v>
      </c>
      <c r="D544" s="15">
        <f t="shared" si="108"/>
        <v>66.38</v>
      </c>
      <c r="E544" s="83">
        <v>56.9</v>
      </c>
      <c r="F544" s="83">
        <v>9.48</v>
      </c>
      <c r="G544" s="12">
        <v>36.9</v>
      </c>
      <c r="H544" s="12">
        <v>91.27</v>
      </c>
      <c r="I544" s="12">
        <f t="shared" si="110"/>
        <v>2</v>
      </c>
      <c r="J544" s="12" t="str">
        <f>IF(I544&gt;=2,"Đạt","Không đạt")</f>
        <v>Đạt</v>
      </c>
      <c r="K544" s="10"/>
      <c r="L544" s="96">
        <f t="shared" si="104"/>
        <v>66.38</v>
      </c>
      <c r="M544" s="10">
        <v>56.9</v>
      </c>
      <c r="N544" s="10">
        <v>9.48</v>
      </c>
      <c r="O544" s="12">
        <v>36.9</v>
      </c>
      <c r="P544" s="97">
        <v>100</v>
      </c>
      <c r="Q544" s="12">
        <f t="shared" si="105"/>
        <v>2</v>
      </c>
      <c r="R544" s="12" t="str">
        <f t="shared" si="106"/>
        <v>Đạt</v>
      </c>
      <c r="S544" s="10"/>
      <c r="T544" s="95"/>
    </row>
    <row r="545" spans="1:20" s="84" customFormat="1" hidden="1" x14ac:dyDescent="0.25">
      <c r="A545" s="9" t="s">
        <v>151</v>
      </c>
      <c r="B545" s="1"/>
      <c r="C545" s="1" t="s">
        <v>515</v>
      </c>
      <c r="D545" s="15">
        <f t="shared" si="108"/>
        <v>14.58</v>
      </c>
      <c r="E545" s="83">
        <v>8.33</v>
      </c>
      <c r="F545" s="83">
        <v>6.25</v>
      </c>
      <c r="G545" s="12">
        <v>34.200000000000003</v>
      </c>
      <c r="H545" s="12">
        <v>100</v>
      </c>
      <c r="I545" s="12">
        <f t="shared" si="110"/>
        <v>1</v>
      </c>
      <c r="J545" s="12" t="str">
        <f t="shared" si="111"/>
        <v>Không đạt</v>
      </c>
      <c r="K545" s="10"/>
      <c r="L545" s="96">
        <f t="shared" si="104"/>
        <v>14.58</v>
      </c>
      <c r="M545" s="10">
        <v>8.33</v>
      </c>
      <c r="N545" s="10">
        <v>6.25</v>
      </c>
      <c r="O545" s="12">
        <v>34.200000000000003</v>
      </c>
      <c r="P545" s="97">
        <v>100</v>
      </c>
      <c r="Q545" s="12">
        <f t="shared" si="105"/>
        <v>1</v>
      </c>
      <c r="R545" s="12" t="str">
        <f t="shared" si="106"/>
        <v>Không đạt</v>
      </c>
      <c r="S545" s="10"/>
      <c r="T545" s="95"/>
    </row>
    <row r="546" spans="1:20" s="84" customFormat="1" hidden="1" x14ac:dyDescent="0.25">
      <c r="A546" s="9" t="s">
        <v>152</v>
      </c>
      <c r="B546" s="1"/>
      <c r="C546" s="1" t="s">
        <v>516</v>
      </c>
      <c r="D546" s="15">
        <f t="shared" si="108"/>
        <v>27.5</v>
      </c>
      <c r="E546" s="83">
        <v>20</v>
      </c>
      <c r="F546" s="83">
        <v>7.5</v>
      </c>
      <c r="G546" s="12">
        <v>42.8</v>
      </c>
      <c r="H546" s="12">
        <v>89.89</v>
      </c>
      <c r="I546" s="12">
        <f t="shared" si="110"/>
        <v>3</v>
      </c>
      <c r="J546" s="12" t="str">
        <f t="shared" si="111"/>
        <v>Đạt</v>
      </c>
      <c r="K546" s="10"/>
      <c r="L546" s="96">
        <f t="shared" si="104"/>
        <v>27.5</v>
      </c>
      <c r="M546" s="10">
        <v>20</v>
      </c>
      <c r="N546" s="10">
        <v>7.5</v>
      </c>
      <c r="O546" s="12">
        <v>42.8</v>
      </c>
      <c r="P546" s="97">
        <v>88.709677419354833</v>
      </c>
      <c r="Q546" s="12">
        <f t="shared" si="105"/>
        <v>3</v>
      </c>
      <c r="R546" s="12" t="str">
        <f t="shared" si="106"/>
        <v>Đạt</v>
      </c>
      <c r="S546" s="10"/>
      <c r="T546" s="95"/>
    </row>
    <row r="547" spans="1:20" s="84" customFormat="1" hidden="1" x14ac:dyDescent="0.25">
      <c r="A547" s="9" t="s">
        <v>153</v>
      </c>
      <c r="B547" s="1"/>
      <c r="C547" s="1" t="s">
        <v>517</v>
      </c>
      <c r="D547" s="15">
        <f t="shared" si="108"/>
        <v>62.5</v>
      </c>
      <c r="E547" s="83">
        <v>37.5</v>
      </c>
      <c r="F547" s="83">
        <v>25</v>
      </c>
      <c r="G547" s="12">
        <v>33.299999999999997</v>
      </c>
      <c r="H547" s="12">
        <v>91.75</v>
      </c>
      <c r="I547" s="12">
        <f t="shared" si="110"/>
        <v>2</v>
      </c>
      <c r="J547" s="12" t="str">
        <f t="shared" si="111"/>
        <v>Đạt</v>
      </c>
      <c r="K547" s="10"/>
      <c r="L547" s="96">
        <f t="shared" si="104"/>
        <v>62.5</v>
      </c>
      <c r="M547" s="10">
        <v>37.5</v>
      </c>
      <c r="N547" s="10">
        <v>25</v>
      </c>
      <c r="O547" s="12">
        <v>33.299999999999997</v>
      </c>
      <c r="P547" s="97">
        <v>89.887640449438194</v>
      </c>
      <c r="Q547" s="12">
        <f t="shared" si="105"/>
        <v>3</v>
      </c>
      <c r="R547" s="12" t="str">
        <f t="shared" si="106"/>
        <v>Đạt</v>
      </c>
      <c r="S547" s="10"/>
      <c r="T547" s="95"/>
    </row>
    <row r="548" spans="1:20" s="84" customFormat="1" hidden="1" x14ac:dyDescent="0.25">
      <c r="A548" s="9" t="s">
        <v>154</v>
      </c>
      <c r="B548" s="1"/>
      <c r="C548" s="1" t="s">
        <v>518</v>
      </c>
      <c r="D548" s="15">
        <f t="shared" si="108"/>
        <v>43.84</v>
      </c>
      <c r="E548" s="83">
        <v>6.92</v>
      </c>
      <c r="F548" s="83">
        <v>36.92</v>
      </c>
      <c r="G548" s="12">
        <v>38.9</v>
      </c>
      <c r="H548" s="12">
        <v>90.67</v>
      </c>
      <c r="I548" s="12">
        <f t="shared" si="110"/>
        <v>2</v>
      </c>
      <c r="J548" s="12" t="str">
        <f t="shared" si="111"/>
        <v>Đạt</v>
      </c>
      <c r="K548" s="10"/>
      <c r="L548" s="96">
        <f t="shared" si="104"/>
        <v>53.84</v>
      </c>
      <c r="M548" s="10">
        <v>16.920000000000002</v>
      </c>
      <c r="N548" s="10">
        <v>36.92</v>
      </c>
      <c r="O548" s="12">
        <v>38.9</v>
      </c>
      <c r="P548" s="97">
        <v>89.795918367346943</v>
      </c>
      <c r="Q548" s="12">
        <f t="shared" si="105"/>
        <v>3</v>
      </c>
      <c r="R548" s="12" t="str">
        <f t="shared" si="106"/>
        <v>Đạt</v>
      </c>
      <c r="S548" s="10"/>
      <c r="T548" s="95"/>
    </row>
    <row r="549" spans="1:20" s="84" customFormat="1" hidden="1" x14ac:dyDescent="0.25">
      <c r="A549" s="9" t="s">
        <v>155</v>
      </c>
      <c r="B549" s="1"/>
      <c r="C549" s="1" t="s">
        <v>519</v>
      </c>
      <c r="D549" s="15">
        <f t="shared" si="108"/>
        <v>7.2</v>
      </c>
      <c r="E549" s="83">
        <v>3.6</v>
      </c>
      <c r="F549" s="83">
        <v>3.6</v>
      </c>
      <c r="G549" s="12">
        <v>33.299999999999997</v>
      </c>
      <c r="H549" s="12">
        <v>100</v>
      </c>
      <c r="I549" s="12">
        <f t="shared" si="110"/>
        <v>1</v>
      </c>
      <c r="J549" s="12" t="str">
        <f>IF(I549&gt;=2,"Đạt","Không đạt")</f>
        <v>Không đạt</v>
      </c>
      <c r="K549" s="10"/>
      <c r="L549" s="96">
        <f t="shared" si="104"/>
        <v>7.2</v>
      </c>
      <c r="M549" s="10">
        <v>3.6</v>
      </c>
      <c r="N549" s="10">
        <v>3.6</v>
      </c>
      <c r="O549" s="12">
        <v>33.299999999999997</v>
      </c>
      <c r="P549" s="97">
        <v>100</v>
      </c>
      <c r="Q549" s="12">
        <f t="shared" si="105"/>
        <v>1</v>
      </c>
      <c r="R549" s="12" t="str">
        <f t="shared" si="106"/>
        <v>Không đạt</v>
      </c>
      <c r="S549" s="10"/>
      <c r="T549" s="95"/>
    </row>
    <row r="550" spans="1:20" s="84" customFormat="1" hidden="1" x14ac:dyDescent="0.25">
      <c r="A550" s="9" t="s">
        <v>156</v>
      </c>
      <c r="B550" s="1"/>
      <c r="C550" s="1" t="s">
        <v>520</v>
      </c>
      <c r="D550" s="15">
        <f t="shared" si="108"/>
        <v>12.5</v>
      </c>
      <c r="E550" s="83">
        <v>8.59</v>
      </c>
      <c r="F550" s="83">
        <v>3.91</v>
      </c>
      <c r="G550" s="12">
        <v>66.7</v>
      </c>
      <c r="H550" s="12">
        <v>100</v>
      </c>
      <c r="I550" s="12">
        <f t="shared" si="110"/>
        <v>0</v>
      </c>
      <c r="J550" s="12" t="str">
        <f t="shared" si="111"/>
        <v>Không đạt</v>
      </c>
      <c r="K550" s="10"/>
      <c r="L550" s="96">
        <f t="shared" si="104"/>
        <v>12.5</v>
      </c>
      <c r="M550" s="10">
        <v>8.59</v>
      </c>
      <c r="N550" s="10">
        <v>3.91</v>
      </c>
      <c r="O550" s="12">
        <v>66.7</v>
      </c>
      <c r="P550" s="97">
        <v>100</v>
      </c>
      <c r="Q550" s="12">
        <f t="shared" si="105"/>
        <v>0</v>
      </c>
      <c r="R550" s="12" t="str">
        <f t="shared" si="106"/>
        <v>Không đạt</v>
      </c>
      <c r="S550" s="10"/>
      <c r="T550" s="95"/>
    </row>
    <row r="551" spans="1:20" s="84" customFormat="1" hidden="1" x14ac:dyDescent="0.25">
      <c r="A551" s="9" t="s">
        <v>157</v>
      </c>
      <c r="B551" s="1"/>
      <c r="C551" s="1" t="s">
        <v>521</v>
      </c>
      <c r="D551" s="15">
        <f t="shared" si="108"/>
        <v>61.06</v>
      </c>
      <c r="E551" s="83">
        <v>46.32</v>
      </c>
      <c r="F551" s="83">
        <v>14.74</v>
      </c>
      <c r="G551" s="12">
        <v>32.1</v>
      </c>
      <c r="H551" s="12">
        <v>89.8</v>
      </c>
      <c r="I551" s="12">
        <f t="shared" si="110"/>
        <v>3</v>
      </c>
      <c r="J551" s="12" t="str">
        <f t="shared" si="111"/>
        <v>Đạt</v>
      </c>
      <c r="K551" s="10"/>
      <c r="L551" s="96">
        <f t="shared" si="104"/>
        <v>61.06</v>
      </c>
      <c r="M551" s="10">
        <v>46.32</v>
      </c>
      <c r="N551" s="10">
        <v>14.74</v>
      </c>
      <c r="O551" s="12">
        <v>32.1</v>
      </c>
      <c r="P551" s="97">
        <v>100</v>
      </c>
      <c r="Q551" s="12">
        <f t="shared" si="105"/>
        <v>2</v>
      </c>
      <c r="R551" s="12" t="str">
        <f t="shared" si="106"/>
        <v>Đạt</v>
      </c>
      <c r="S551" s="10"/>
      <c r="T551" s="95"/>
    </row>
    <row r="552" spans="1:20" s="84" customFormat="1" hidden="1" x14ac:dyDescent="0.25">
      <c r="A552" s="9" t="s">
        <v>158</v>
      </c>
      <c r="B552" s="1"/>
      <c r="C552" s="1" t="s">
        <v>257</v>
      </c>
      <c r="D552" s="15">
        <f t="shared" si="108"/>
        <v>49.28</v>
      </c>
      <c r="E552" s="83">
        <v>20.29</v>
      </c>
      <c r="F552" s="83">
        <v>28.99</v>
      </c>
      <c r="G552" s="12">
        <v>38.200000000000003</v>
      </c>
      <c r="H552" s="12">
        <v>100</v>
      </c>
      <c r="I552" s="12">
        <f t="shared" si="110"/>
        <v>2</v>
      </c>
      <c r="J552" s="12" t="str">
        <f t="shared" si="111"/>
        <v>Đạt</v>
      </c>
      <c r="K552" s="10"/>
      <c r="L552" s="96">
        <f t="shared" si="104"/>
        <v>49.28</v>
      </c>
      <c r="M552" s="10">
        <v>20.29</v>
      </c>
      <c r="N552" s="10">
        <v>28.99</v>
      </c>
      <c r="O552" s="12">
        <v>38.200000000000003</v>
      </c>
      <c r="P552" s="97">
        <v>100</v>
      </c>
      <c r="Q552" s="12">
        <f t="shared" si="105"/>
        <v>2</v>
      </c>
      <c r="R552" s="12" t="str">
        <f t="shared" si="106"/>
        <v>Đạt</v>
      </c>
      <c r="S552" s="10"/>
      <c r="T552" s="95"/>
    </row>
    <row r="553" spans="1:20" s="84" customFormat="1" hidden="1" x14ac:dyDescent="0.25">
      <c r="A553" s="9" t="s">
        <v>159</v>
      </c>
      <c r="B553" s="1"/>
      <c r="C553" s="1" t="s">
        <v>295</v>
      </c>
      <c r="D553" s="15">
        <f t="shared" si="108"/>
        <v>62.69</v>
      </c>
      <c r="E553" s="83">
        <v>53.73</v>
      </c>
      <c r="F553" s="83">
        <v>8.9600000000000009</v>
      </c>
      <c r="G553" s="12">
        <v>38.5</v>
      </c>
      <c r="H553" s="12">
        <v>93.33</v>
      </c>
      <c r="I553" s="12">
        <f t="shared" si="110"/>
        <v>2</v>
      </c>
      <c r="J553" s="12" t="str">
        <f t="shared" si="111"/>
        <v>Đạt</v>
      </c>
      <c r="K553" s="10"/>
      <c r="L553" s="96">
        <f t="shared" si="104"/>
        <v>62.69</v>
      </c>
      <c r="M553" s="10">
        <v>53.73</v>
      </c>
      <c r="N553" s="10">
        <v>8.9600000000000009</v>
      </c>
      <c r="O553" s="12">
        <v>38.5</v>
      </c>
      <c r="P553" s="97">
        <v>100</v>
      </c>
      <c r="Q553" s="12">
        <f t="shared" si="105"/>
        <v>2</v>
      </c>
      <c r="R553" s="12" t="str">
        <f t="shared" si="106"/>
        <v>Đạt</v>
      </c>
      <c r="S553" s="10"/>
      <c r="T553" s="95"/>
    </row>
    <row r="554" spans="1:20" s="84" customFormat="1" hidden="1" x14ac:dyDescent="0.25">
      <c r="A554" s="9" t="s">
        <v>160</v>
      </c>
      <c r="B554" s="1"/>
      <c r="C554" s="1" t="s">
        <v>296</v>
      </c>
      <c r="D554" s="15">
        <f t="shared" si="108"/>
        <v>65.459999999999994</v>
      </c>
      <c r="E554" s="83">
        <v>54.55</v>
      </c>
      <c r="F554" s="83">
        <v>10.91</v>
      </c>
      <c r="G554" s="12">
        <v>38.5</v>
      </c>
      <c r="H554" s="12">
        <v>79.37</v>
      </c>
      <c r="I554" s="12">
        <f t="shared" si="110"/>
        <v>3</v>
      </c>
      <c r="J554" s="12" t="str">
        <f t="shared" si="111"/>
        <v>Đạt</v>
      </c>
      <c r="K554" s="10"/>
      <c r="L554" s="96">
        <f t="shared" si="104"/>
        <v>65.459999999999994</v>
      </c>
      <c r="M554" s="10">
        <v>54.55</v>
      </c>
      <c r="N554" s="10">
        <v>10.91</v>
      </c>
      <c r="O554" s="12">
        <v>38.5</v>
      </c>
      <c r="P554" s="97">
        <v>90.666666666666671</v>
      </c>
      <c r="Q554" s="12">
        <f t="shared" si="105"/>
        <v>2</v>
      </c>
      <c r="R554" s="12" t="str">
        <f t="shared" si="106"/>
        <v>Đạt</v>
      </c>
      <c r="S554" s="10"/>
      <c r="T554" s="95"/>
    </row>
    <row r="555" spans="1:20" s="84" customFormat="1" hidden="1" x14ac:dyDescent="0.25">
      <c r="A555" s="9" t="s">
        <v>161</v>
      </c>
      <c r="B555" s="1"/>
      <c r="C555" s="1" t="s">
        <v>522</v>
      </c>
      <c r="D555" s="15">
        <f t="shared" si="108"/>
        <v>72.88</v>
      </c>
      <c r="E555" s="83">
        <v>55.93</v>
      </c>
      <c r="F555" s="83">
        <v>16.95</v>
      </c>
      <c r="G555" s="12">
        <v>38.5</v>
      </c>
      <c r="H555" s="12">
        <v>88.71</v>
      </c>
      <c r="I555" s="12">
        <f t="shared" si="110"/>
        <v>3</v>
      </c>
      <c r="J555" s="12" t="str">
        <f t="shared" si="111"/>
        <v>Đạt</v>
      </c>
      <c r="K555" s="10"/>
      <c r="L555" s="96">
        <f t="shared" si="104"/>
        <v>72.88</v>
      </c>
      <c r="M555" s="10">
        <v>55.93</v>
      </c>
      <c r="N555" s="10">
        <v>16.95</v>
      </c>
      <c r="O555" s="12">
        <v>38.5</v>
      </c>
      <c r="P555" s="97">
        <v>93.333333333333329</v>
      </c>
      <c r="Q555" s="12">
        <f t="shared" si="105"/>
        <v>2</v>
      </c>
      <c r="R555" s="12" t="str">
        <f t="shared" si="106"/>
        <v>Đạt</v>
      </c>
      <c r="S555" s="10"/>
      <c r="T555" s="95"/>
    </row>
    <row r="556" spans="1:20" s="84" customFormat="1" hidden="1" x14ac:dyDescent="0.25">
      <c r="A556" s="9" t="s">
        <v>162</v>
      </c>
      <c r="B556" s="1"/>
      <c r="C556" s="1" t="s">
        <v>523</v>
      </c>
      <c r="D556" s="15">
        <f t="shared" si="108"/>
        <v>43.48</v>
      </c>
      <c r="E556" s="83">
        <v>40.58</v>
      </c>
      <c r="F556" s="83">
        <v>2.9</v>
      </c>
      <c r="G556" s="12">
        <v>38.5</v>
      </c>
      <c r="H556" s="12">
        <v>100</v>
      </c>
      <c r="I556" s="12">
        <f t="shared" si="110"/>
        <v>2</v>
      </c>
      <c r="J556" s="12" t="str">
        <f t="shared" si="111"/>
        <v>Đạt</v>
      </c>
      <c r="K556" s="10"/>
      <c r="L556" s="96">
        <f t="shared" si="104"/>
        <v>43.48</v>
      </c>
      <c r="M556" s="10">
        <v>40.58</v>
      </c>
      <c r="N556" s="10">
        <v>2.9</v>
      </c>
      <c r="O556" s="12">
        <v>38.5</v>
      </c>
      <c r="P556" s="97">
        <v>91.743119266055032</v>
      </c>
      <c r="Q556" s="12">
        <f t="shared" si="105"/>
        <v>2</v>
      </c>
      <c r="R556" s="12" t="str">
        <f t="shared" si="106"/>
        <v>Đạt</v>
      </c>
      <c r="S556" s="10"/>
      <c r="T556" s="95"/>
    </row>
    <row r="557" spans="1:20" s="84" customFormat="1" hidden="1" x14ac:dyDescent="0.25">
      <c r="A557" s="9" t="s">
        <v>163</v>
      </c>
      <c r="B557" s="1"/>
      <c r="C557" s="1" t="s">
        <v>524</v>
      </c>
      <c r="D557" s="15">
        <f t="shared" si="108"/>
        <v>65.52</v>
      </c>
      <c r="E557" s="83">
        <v>56.32</v>
      </c>
      <c r="F557" s="83">
        <v>9.1999999999999993</v>
      </c>
      <c r="G557" s="12">
        <v>38.5</v>
      </c>
      <c r="H557" s="12">
        <v>91.74</v>
      </c>
      <c r="I557" s="12">
        <f t="shared" si="110"/>
        <v>2</v>
      </c>
      <c r="J557" s="12" t="str">
        <f t="shared" si="111"/>
        <v>Đạt</v>
      </c>
      <c r="K557" s="10"/>
      <c r="L557" s="96">
        <f t="shared" si="104"/>
        <v>65.52</v>
      </c>
      <c r="M557" s="10">
        <v>56.32</v>
      </c>
      <c r="N557" s="10">
        <v>9.1999999999999993</v>
      </c>
      <c r="O557" s="12">
        <v>38.5</v>
      </c>
      <c r="P557" s="97">
        <v>93.258426966292134</v>
      </c>
      <c r="Q557" s="12">
        <f t="shared" si="105"/>
        <v>2</v>
      </c>
      <c r="R557" s="12" t="str">
        <f t="shared" si="106"/>
        <v>Đạt</v>
      </c>
      <c r="S557" s="10"/>
      <c r="T557" s="95"/>
    </row>
    <row r="558" spans="1:20" s="84" customFormat="1" hidden="1" x14ac:dyDescent="0.25">
      <c r="A558" s="9" t="s">
        <v>164</v>
      </c>
      <c r="B558" s="1"/>
      <c r="C558" s="1" t="s">
        <v>525</v>
      </c>
      <c r="D558" s="15">
        <f t="shared" si="108"/>
        <v>71.22</v>
      </c>
      <c r="E558" s="83">
        <v>51.52</v>
      </c>
      <c r="F558" s="83">
        <v>19.7</v>
      </c>
      <c r="G558" s="12">
        <v>21.25</v>
      </c>
      <c r="H558" s="12">
        <v>84.62</v>
      </c>
      <c r="I558" s="12">
        <f t="shared" si="110"/>
        <v>3</v>
      </c>
      <c r="J558" s="12" t="str">
        <f t="shared" si="111"/>
        <v>Đạt</v>
      </c>
      <c r="K558" s="10"/>
      <c r="L558" s="96">
        <f t="shared" si="104"/>
        <v>71.22</v>
      </c>
      <c r="M558" s="10">
        <v>51.52</v>
      </c>
      <c r="N558" s="10">
        <v>19.7</v>
      </c>
      <c r="O558" s="12">
        <v>21.25</v>
      </c>
      <c r="P558" s="97">
        <v>100</v>
      </c>
      <c r="Q558" s="12">
        <f t="shared" si="105"/>
        <v>2</v>
      </c>
      <c r="R558" s="12" t="str">
        <f t="shared" si="106"/>
        <v>Đạt</v>
      </c>
      <c r="S558" s="10"/>
      <c r="T558" s="95"/>
    </row>
    <row r="559" spans="1:20" s="84" customFormat="1" hidden="1" x14ac:dyDescent="0.25">
      <c r="A559" s="9" t="s">
        <v>165</v>
      </c>
      <c r="B559" s="1"/>
      <c r="C559" s="1" t="s">
        <v>526</v>
      </c>
      <c r="D559" s="15">
        <f t="shared" si="108"/>
        <v>12.76</v>
      </c>
      <c r="E559" s="83">
        <v>3.72</v>
      </c>
      <c r="F559" s="83">
        <v>9.0399999999999991</v>
      </c>
      <c r="G559" s="12">
        <v>42.2</v>
      </c>
      <c r="H559" s="12">
        <v>100</v>
      </c>
      <c r="I559" s="12">
        <f t="shared" si="110"/>
        <v>1</v>
      </c>
      <c r="J559" s="12" t="str">
        <f t="shared" si="111"/>
        <v>Không đạt</v>
      </c>
      <c r="K559" s="10"/>
      <c r="L559" s="96">
        <f t="shared" si="104"/>
        <v>12.76</v>
      </c>
      <c r="M559" s="10">
        <v>3.72</v>
      </c>
      <c r="N559" s="10">
        <v>9.0399999999999991</v>
      </c>
      <c r="O559" s="12">
        <v>42.2</v>
      </c>
      <c r="P559" s="97">
        <v>91.75257731958763</v>
      </c>
      <c r="Q559" s="12">
        <f t="shared" si="105"/>
        <v>1</v>
      </c>
      <c r="R559" s="12" t="str">
        <f t="shared" si="106"/>
        <v>Không đạt</v>
      </c>
      <c r="S559" s="10"/>
      <c r="T559" s="95"/>
    </row>
    <row r="560" spans="1:20" s="84" customFormat="1" hidden="1" x14ac:dyDescent="0.25">
      <c r="A560" s="9" t="s">
        <v>166</v>
      </c>
      <c r="B560" s="1"/>
      <c r="C560" s="1" t="s">
        <v>527</v>
      </c>
      <c r="D560" s="15">
        <f t="shared" si="108"/>
        <v>22.91</v>
      </c>
      <c r="E560" s="83">
        <v>13.19</v>
      </c>
      <c r="F560" s="83">
        <v>9.7200000000000006</v>
      </c>
      <c r="G560" s="12">
        <v>42.2</v>
      </c>
      <c r="H560" s="12">
        <v>100</v>
      </c>
      <c r="I560" s="12">
        <f t="shared" si="110"/>
        <v>2</v>
      </c>
      <c r="J560" s="12" t="str">
        <f t="shared" si="111"/>
        <v>Đạt</v>
      </c>
      <c r="K560" s="10"/>
      <c r="L560" s="96">
        <f t="shared" si="104"/>
        <v>22.91</v>
      </c>
      <c r="M560" s="10">
        <v>13.19</v>
      </c>
      <c r="N560" s="10">
        <v>9.7200000000000006</v>
      </c>
      <c r="O560" s="12">
        <v>42.2</v>
      </c>
      <c r="P560" s="97">
        <v>70</v>
      </c>
      <c r="Q560" s="12">
        <f t="shared" si="105"/>
        <v>3</v>
      </c>
      <c r="R560" s="12" t="str">
        <f t="shared" si="106"/>
        <v>Đạt</v>
      </c>
      <c r="S560" s="10"/>
      <c r="T560" s="95"/>
    </row>
    <row r="561" spans="1:21" s="84" customFormat="1" ht="45" x14ac:dyDescent="0.25">
      <c r="A561" s="9" t="s">
        <v>167</v>
      </c>
      <c r="B561" s="1"/>
      <c r="C561" s="1" t="s">
        <v>528</v>
      </c>
      <c r="D561" s="15">
        <f t="shared" si="108"/>
        <v>6.29</v>
      </c>
      <c r="E561" s="83">
        <v>4.4000000000000004</v>
      </c>
      <c r="F561" s="83">
        <v>1.89</v>
      </c>
      <c r="G561" s="12">
        <v>38.9</v>
      </c>
      <c r="H561" s="12">
        <v>100</v>
      </c>
      <c r="I561" s="12">
        <f t="shared" si="110"/>
        <v>1</v>
      </c>
      <c r="J561" s="12" t="str">
        <f t="shared" si="111"/>
        <v>Không đạt</v>
      </c>
      <c r="K561" s="10"/>
      <c r="L561" s="96">
        <f t="shared" si="104"/>
        <v>6.29</v>
      </c>
      <c r="M561" s="10">
        <v>4.4000000000000004</v>
      </c>
      <c r="N561" s="10">
        <v>1.89</v>
      </c>
      <c r="O561" s="12">
        <v>38.9</v>
      </c>
      <c r="P561" s="97">
        <v>84.615384615384613</v>
      </c>
      <c r="Q561" s="12">
        <f t="shared" si="105"/>
        <v>2</v>
      </c>
      <c r="R561" s="12" t="str">
        <f t="shared" si="106"/>
        <v>Đạt</v>
      </c>
      <c r="S561" s="10" t="s">
        <v>1190</v>
      </c>
      <c r="T561" s="95"/>
    </row>
    <row r="562" spans="1:21" s="84" customFormat="1" hidden="1" x14ac:dyDescent="0.25">
      <c r="A562" s="9" t="s">
        <v>168</v>
      </c>
      <c r="B562" s="1"/>
      <c r="C562" s="1" t="s">
        <v>529</v>
      </c>
      <c r="D562" s="15">
        <f t="shared" si="108"/>
        <v>10.77</v>
      </c>
      <c r="E562" s="83">
        <v>6.15</v>
      </c>
      <c r="F562" s="83">
        <v>4.62</v>
      </c>
      <c r="G562" s="12">
        <v>40</v>
      </c>
      <c r="H562" s="12">
        <v>100</v>
      </c>
      <c r="I562" s="12">
        <f t="shared" si="110"/>
        <v>1</v>
      </c>
      <c r="J562" s="12" t="str">
        <f t="shared" si="111"/>
        <v>Không đạt</v>
      </c>
      <c r="K562" s="10"/>
      <c r="L562" s="96">
        <f t="shared" si="104"/>
        <v>10.77</v>
      </c>
      <c r="M562" s="10">
        <v>6.15</v>
      </c>
      <c r="N562" s="10">
        <v>4.62</v>
      </c>
      <c r="O562" s="12">
        <v>40</v>
      </c>
      <c r="P562" s="97">
        <v>100</v>
      </c>
      <c r="Q562" s="12">
        <f t="shared" si="105"/>
        <v>1</v>
      </c>
      <c r="R562" s="12" t="str">
        <f t="shared" si="106"/>
        <v>Không đạt</v>
      </c>
      <c r="S562" s="10"/>
      <c r="T562" s="95"/>
    </row>
    <row r="563" spans="1:21" s="84" customFormat="1" hidden="1" x14ac:dyDescent="0.25">
      <c r="A563" s="9" t="s">
        <v>169</v>
      </c>
      <c r="B563" s="1"/>
      <c r="C563" s="1" t="s">
        <v>530</v>
      </c>
      <c r="D563" s="15">
        <f t="shared" si="108"/>
        <v>22.32</v>
      </c>
      <c r="E563" s="83">
        <v>7.14</v>
      </c>
      <c r="F563" s="83">
        <v>15.18</v>
      </c>
      <c r="G563" s="12">
        <v>40</v>
      </c>
      <c r="H563" s="12">
        <v>100</v>
      </c>
      <c r="I563" s="12">
        <f t="shared" si="110"/>
        <v>2</v>
      </c>
      <c r="J563" s="12" t="str">
        <f t="shared" si="111"/>
        <v>Đạt</v>
      </c>
      <c r="K563" s="10"/>
      <c r="L563" s="96">
        <f t="shared" si="104"/>
        <v>22.32</v>
      </c>
      <c r="M563" s="10">
        <v>7.14</v>
      </c>
      <c r="N563" s="10">
        <v>15.18</v>
      </c>
      <c r="O563" s="12">
        <v>40</v>
      </c>
      <c r="P563" s="97">
        <v>100</v>
      </c>
      <c r="Q563" s="12">
        <f t="shared" si="105"/>
        <v>2</v>
      </c>
      <c r="R563" s="12" t="str">
        <f t="shared" si="106"/>
        <v>Đạt</v>
      </c>
      <c r="S563" s="10"/>
      <c r="T563" s="95"/>
    </row>
    <row r="564" spans="1:21" s="84" customFormat="1" hidden="1" x14ac:dyDescent="0.25">
      <c r="A564" s="9" t="s">
        <v>170</v>
      </c>
      <c r="B564" s="1"/>
      <c r="C564" s="1" t="s">
        <v>531</v>
      </c>
      <c r="D564" s="15">
        <f t="shared" si="108"/>
        <v>36.06</v>
      </c>
      <c r="E564" s="83">
        <v>14.75</v>
      </c>
      <c r="F564" s="83">
        <v>21.31</v>
      </c>
      <c r="G564" s="12">
        <v>22.7</v>
      </c>
      <c r="H564" s="12">
        <v>100</v>
      </c>
      <c r="I564" s="12">
        <f t="shared" si="110"/>
        <v>2</v>
      </c>
      <c r="J564" s="12" t="str">
        <f t="shared" si="111"/>
        <v>Đạt</v>
      </c>
      <c r="K564" s="10"/>
      <c r="L564" s="96">
        <f t="shared" si="104"/>
        <v>36.06</v>
      </c>
      <c r="M564" s="10">
        <v>14.75</v>
      </c>
      <c r="N564" s="10">
        <v>21.31</v>
      </c>
      <c r="O564" s="12">
        <v>22.7</v>
      </c>
      <c r="P564" s="97">
        <v>89.473684210526315</v>
      </c>
      <c r="Q564" s="12">
        <f t="shared" si="105"/>
        <v>3</v>
      </c>
      <c r="R564" s="12" t="str">
        <f t="shared" si="106"/>
        <v>Đạt</v>
      </c>
      <c r="S564" s="10"/>
      <c r="T564" s="95"/>
    </row>
    <row r="565" spans="1:21" s="84" customFormat="1" hidden="1" x14ac:dyDescent="0.25">
      <c r="A565" s="9" t="s">
        <v>171</v>
      </c>
      <c r="B565" s="1"/>
      <c r="C565" s="1" t="s">
        <v>532</v>
      </c>
      <c r="D565" s="15">
        <f t="shared" si="108"/>
        <v>68.67</v>
      </c>
      <c r="E565" s="83">
        <v>55.42</v>
      </c>
      <c r="F565" s="83">
        <v>13.25</v>
      </c>
      <c r="G565" s="12">
        <v>36.6</v>
      </c>
      <c r="H565" s="12">
        <v>89.47</v>
      </c>
      <c r="I565" s="12">
        <f t="shared" si="110"/>
        <v>3</v>
      </c>
      <c r="J565" s="12" t="str">
        <f t="shared" si="111"/>
        <v>Đạt</v>
      </c>
      <c r="K565" s="10"/>
      <c r="L565" s="96">
        <f t="shared" si="104"/>
        <v>68.67</v>
      </c>
      <c r="M565" s="10">
        <v>55.42</v>
      </c>
      <c r="N565" s="10">
        <v>13.25</v>
      </c>
      <c r="O565" s="12">
        <v>36.6</v>
      </c>
      <c r="P565" s="97">
        <v>100</v>
      </c>
      <c r="Q565" s="12">
        <f t="shared" si="105"/>
        <v>2</v>
      </c>
      <c r="R565" s="12" t="str">
        <f t="shared" si="106"/>
        <v>Đạt</v>
      </c>
      <c r="S565" s="10"/>
      <c r="T565" s="95"/>
    </row>
    <row r="566" spans="1:21" s="84" customFormat="1" hidden="1" x14ac:dyDescent="0.25">
      <c r="A566" s="9" t="s">
        <v>172</v>
      </c>
      <c r="B566" s="1"/>
      <c r="C566" s="1" t="s">
        <v>533</v>
      </c>
      <c r="D566" s="15">
        <f t="shared" si="108"/>
        <v>97.32</v>
      </c>
      <c r="E566" s="83">
        <v>80.36</v>
      </c>
      <c r="F566" s="83">
        <v>16.96</v>
      </c>
      <c r="G566" s="12">
        <v>38.950000000000003</v>
      </c>
      <c r="H566" s="12">
        <v>92</v>
      </c>
      <c r="I566" s="12">
        <f t="shared" si="110"/>
        <v>2</v>
      </c>
      <c r="J566" s="12" t="str">
        <f t="shared" si="111"/>
        <v>Đạt</v>
      </c>
      <c r="K566" s="10"/>
      <c r="L566" s="96">
        <f t="shared" si="104"/>
        <v>97.32</v>
      </c>
      <c r="M566" s="10">
        <v>80.36</v>
      </c>
      <c r="N566" s="10">
        <v>16.96</v>
      </c>
      <c r="O566" s="12">
        <v>38.950000000000003</v>
      </c>
      <c r="P566" s="97">
        <v>100</v>
      </c>
      <c r="Q566" s="12">
        <f t="shared" si="105"/>
        <v>2</v>
      </c>
      <c r="R566" s="12" t="str">
        <f t="shared" si="106"/>
        <v>Đạt</v>
      </c>
      <c r="S566" s="10"/>
      <c r="T566" s="95"/>
    </row>
    <row r="567" spans="1:21" s="84" customFormat="1" hidden="1" x14ac:dyDescent="0.25">
      <c r="A567" s="9" t="s">
        <v>173</v>
      </c>
      <c r="B567" s="1"/>
      <c r="C567" s="1" t="s">
        <v>534</v>
      </c>
      <c r="D567" s="15">
        <f t="shared" si="108"/>
        <v>94.44</v>
      </c>
      <c r="E567" s="83">
        <v>62.96</v>
      </c>
      <c r="F567" s="83">
        <v>31.48</v>
      </c>
      <c r="G567" s="12">
        <v>39.1</v>
      </c>
      <c r="H567" s="12">
        <v>84.62</v>
      </c>
      <c r="I567" s="12">
        <f t="shared" si="110"/>
        <v>3</v>
      </c>
      <c r="J567" s="12" t="str">
        <f t="shared" si="111"/>
        <v>Đạt</v>
      </c>
      <c r="K567" s="10"/>
      <c r="L567" s="96">
        <f t="shared" si="104"/>
        <v>94.44</v>
      </c>
      <c r="M567" s="10">
        <v>62.96</v>
      </c>
      <c r="N567" s="10">
        <v>31.48</v>
      </c>
      <c r="O567" s="12">
        <v>39.1</v>
      </c>
      <c r="P567" s="97">
        <v>92</v>
      </c>
      <c r="Q567" s="12">
        <f t="shared" si="105"/>
        <v>2</v>
      </c>
      <c r="R567" s="12" t="str">
        <f t="shared" si="106"/>
        <v>Đạt</v>
      </c>
      <c r="S567" s="10"/>
      <c r="T567" s="95"/>
    </row>
    <row r="568" spans="1:21" s="84" customFormat="1" hidden="1" x14ac:dyDescent="0.25">
      <c r="A568" s="9" t="s">
        <v>174</v>
      </c>
      <c r="B568" s="1"/>
      <c r="C568" s="1" t="s">
        <v>535</v>
      </c>
      <c r="D568" s="15">
        <f t="shared" si="108"/>
        <v>100</v>
      </c>
      <c r="E568" s="83">
        <v>58.54</v>
      </c>
      <c r="F568" s="83">
        <v>41.46</v>
      </c>
      <c r="G568" s="12">
        <v>35.5</v>
      </c>
      <c r="H568" s="12">
        <v>70</v>
      </c>
      <c r="I568" s="12">
        <f t="shared" si="110"/>
        <v>3</v>
      </c>
      <c r="J568" s="12" t="str">
        <f t="shared" si="111"/>
        <v>Đạt</v>
      </c>
      <c r="K568" s="10"/>
      <c r="L568" s="96">
        <f t="shared" si="104"/>
        <v>100</v>
      </c>
      <c r="M568" s="10">
        <v>58.54</v>
      </c>
      <c r="N568" s="10">
        <v>41.46</v>
      </c>
      <c r="O568" s="12">
        <v>35.5</v>
      </c>
      <c r="P568" s="97">
        <v>84.615384615384613</v>
      </c>
      <c r="Q568" s="12">
        <f t="shared" si="105"/>
        <v>3</v>
      </c>
      <c r="R568" s="12" t="str">
        <f t="shared" si="106"/>
        <v>Đạt</v>
      </c>
      <c r="S568" s="10"/>
      <c r="T568" s="95"/>
    </row>
    <row r="569" spans="1:21" s="100" customFormat="1" ht="23.25" customHeight="1" x14ac:dyDescent="0.25">
      <c r="A569" s="19" t="s">
        <v>374</v>
      </c>
      <c r="B569" s="20" t="s">
        <v>121</v>
      </c>
      <c r="C569" s="20"/>
      <c r="D569" s="22"/>
      <c r="E569" s="104"/>
      <c r="F569" s="104"/>
      <c r="G569" s="22"/>
      <c r="H569" s="22"/>
      <c r="I569" s="22"/>
      <c r="J569" s="22"/>
      <c r="K569" s="90">
        <f>COUNTIF(J570:J585,"Đạt")</f>
        <v>12</v>
      </c>
      <c r="L569" s="98">
        <f t="shared" ref="L569:L578" si="112">M569+N569</f>
        <v>0</v>
      </c>
      <c r="M569" s="21"/>
      <c r="N569" s="21"/>
      <c r="O569" s="22"/>
      <c r="P569" s="99"/>
      <c r="Q569" s="89"/>
      <c r="R569" s="89"/>
      <c r="S569" s="90" t="s">
        <v>1193</v>
      </c>
      <c r="U569" s="84"/>
    </row>
    <row r="570" spans="1:21" s="84" customFormat="1" hidden="1" x14ac:dyDescent="0.25">
      <c r="A570" s="9" t="s">
        <v>148</v>
      </c>
      <c r="B570" s="1"/>
      <c r="C570" s="1" t="s">
        <v>389</v>
      </c>
      <c r="D570" s="15">
        <f t="shared" ref="D570:D585" si="113">E570+F570</f>
        <v>90.32</v>
      </c>
      <c r="E570" s="83">
        <v>29.03</v>
      </c>
      <c r="F570" s="83">
        <v>61.29</v>
      </c>
      <c r="G570" s="12">
        <v>50</v>
      </c>
      <c r="H570" s="12">
        <v>100</v>
      </c>
      <c r="I570" s="12">
        <f t="shared" ref="I570:I585" si="114">SUM((IF(D570&gt;=16.24,1,0))+(IF(G570&lt;60,1,0))+(IF(H570&lt;90,1,0)))</f>
        <v>2</v>
      </c>
      <c r="J570" s="12" t="str">
        <f>IF(I570&gt;=2,"Đạt","Không đạt")</f>
        <v>Đạt</v>
      </c>
      <c r="K570" s="10"/>
      <c r="L570" s="96">
        <f t="shared" si="112"/>
        <v>90.32</v>
      </c>
      <c r="M570" s="10">
        <v>29.03</v>
      </c>
      <c r="N570" s="10">
        <v>61.29</v>
      </c>
      <c r="O570" s="12">
        <v>50</v>
      </c>
      <c r="P570" s="97">
        <v>96.8</v>
      </c>
      <c r="Q570" s="12">
        <f t="shared" ref="Q570:Q578" si="115">SUM((IF(L570&gt;=16.24,1,0))+(IF(O570&lt;60,1,0))+(IF(P570&lt;90,1,0)))</f>
        <v>2</v>
      </c>
      <c r="R570" s="12" t="str">
        <f t="shared" ref="R570:R578" si="116">IF(Q570&gt;=2,"Đạt","Không đạt")</f>
        <v>Đạt</v>
      </c>
      <c r="S570" s="10"/>
      <c r="T570" s="95"/>
    </row>
    <row r="571" spans="1:21" s="84" customFormat="1" hidden="1" x14ac:dyDescent="0.25">
      <c r="A571" s="9" t="s">
        <v>149</v>
      </c>
      <c r="B571" s="1"/>
      <c r="C571" s="1" t="s">
        <v>390</v>
      </c>
      <c r="D571" s="15">
        <f t="shared" si="113"/>
        <v>68.75</v>
      </c>
      <c r="E571" s="83">
        <v>41.67</v>
      </c>
      <c r="F571" s="83">
        <v>27.08</v>
      </c>
      <c r="G571" s="12">
        <v>33</v>
      </c>
      <c r="H571" s="12">
        <v>70</v>
      </c>
      <c r="I571" s="12">
        <f t="shared" si="114"/>
        <v>3</v>
      </c>
      <c r="J571" s="12" t="str">
        <f t="shared" ref="J571:J585" si="117">IF(I571&gt;=2,"Đạt","Không đạt")</f>
        <v>Đạt</v>
      </c>
      <c r="K571" s="10"/>
      <c r="L571" s="96">
        <f t="shared" si="112"/>
        <v>68.75</v>
      </c>
      <c r="M571" s="10">
        <v>41.67</v>
      </c>
      <c r="N571" s="10">
        <v>27.08</v>
      </c>
      <c r="O571" s="12">
        <v>33</v>
      </c>
      <c r="P571" s="97">
        <v>96</v>
      </c>
      <c r="Q571" s="12">
        <f t="shared" si="115"/>
        <v>2</v>
      </c>
      <c r="R571" s="12" t="str">
        <f t="shared" si="116"/>
        <v>Đạt</v>
      </c>
      <c r="S571" s="10"/>
      <c r="T571" s="95"/>
    </row>
    <row r="572" spans="1:21" s="84" customFormat="1" hidden="1" x14ac:dyDescent="0.25">
      <c r="A572" s="9" t="s">
        <v>150</v>
      </c>
      <c r="B572" s="1"/>
      <c r="C572" s="1" t="s">
        <v>391</v>
      </c>
      <c r="D572" s="15">
        <f t="shared" si="113"/>
        <v>46.09</v>
      </c>
      <c r="E572" s="83">
        <v>25</v>
      </c>
      <c r="F572" s="83">
        <v>21.09</v>
      </c>
      <c r="G572" s="12">
        <v>50</v>
      </c>
      <c r="H572" s="12">
        <v>87.1</v>
      </c>
      <c r="I572" s="12">
        <f t="shared" si="114"/>
        <v>3</v>
      </c>
      <c r="J572" s="12" t="str">
        <f t="shared" si="117"/>
        <v>Đạt</v>
      </c>
      <c r="K572" s="10"/>
      <c r="L572" s="96">
        <f t="shared" si="112"/>
        <v>46.09</v>
      </c>
      <c r="M572" s="10">
        <v>25</v>
      </c>
      <c r="N572" s="10">
        <v>21.09</v>
      </c>
      <c r="O572" s="12">
        <v>50</v>
      </c>
      <c r="P572" s="97">
        <v>99.2</v>
      </c>
      <c r="Q572" s="12">
        <f t="shared" si="115"/>
        <v>2</v>
      </c>
      <c r="R572" s="12" t="str">
        <f t="shared" si="116"/>
        <v>Đạt</v>
      </c>
      <c r="S572" s="10"/>
      <c r="T572" s="95"/>
    </row>
    <row r="573" spans="1:21" s="84" customFormat="1" hidden="1" x14ac:dyDescent="0.25">
      <c r="A573" s="9" t="s">
        <v>151</v>
      </c>
      <c r="B573" s="1"/>
      <c r="C573" s="1" t="s">
        <v>392</v>
      </c>
      <c r="D573" s="15">
        <f t="shared" si="113"/>
        <v>85.88</v>
      </c>
      <c r="E573" s="83">
        <v>40</v>
      </c>
      <c r="F573" s="83">
        <v>45.88</v>
      </c>
      <c r="G573" s="12">
        <v>59</v>
      </c>
      <c r="H573" s="12">
        <v>90.6</v>
      </c>
      <c r="I573" s="12">
        <f t="shared" si="114"/>
        <v>2</v>
      </c>
      <c r="J573" s="12" t="str">
        <f t="shared" si="117"/>
        <v>Đạt</v>
      </c>
      <c r="K573" s="10"/>
      <c r="L573" s="96">
        <f t="shared" si="112"/>
        <v>85.88</v>
      </c>
      <c r="M573" s="10">
        <v>40</v>
      </c>
      <c r="N573" s="10">
        <v>45.88</v>
      </c>
      <c r="O573" s="12">
        <v>59</v>
      </c>
      <c r="P573" s="97">
        <v>98.8</v>
      </c>
      <c r="Q573" s="12">
        <f t="shared" si="115"/>
        <v>2</v>
      </c>
      <c r="R573" s="12" t="str">
        <f t="shared" si="116"/>
        <v>Đạt</v>
      </c>
      <c r="S573" s="10"/>
      <c r="T573" s="95"/>
    </row>
    <row r="574" spans="1:21" s="84" customFormat="1" hidden="1" x14ac:dyDescent="0.25">
      <c r="A574" s="9" t="s">
        <v>152</v>
      </c>
      <c r="B574" s="1"/>
      <c r="C574" s="1" t="s">
        <v>393</v>
      </c>
      <c r="D574" s="15">
        <f t="shared" si="113"/>
        <v>39.68</v>
      </c>
      <c r="E574" s="83">
        <v>23.81</v>
      </c>
      <c r="F574" s="83">
        <v>15.87</v>
      </c>
      <c r="G574" s="12">
        <v>53</v>
      </c>
      <c r="H574" s="12">
        <v>100</v>
      </c>
      <c r="I574" s="12">
        <f t="shared" si="114"/>
        <v>2</v>
      </c>
      <c r="J574" s="12" t="str">
        <f t="shared" si="117"/>
        <v>Đạt</v>
      </c>
      <c r="K574" s="10"/>
      <c r="L574" s="96">
        <f t="shared" si="112"/>
        <v>39.68</v>
      </c>
      <c r="M574" s="10">
        <v>23.81</v>
      </c>
      <c r="N574" s="10">
        <v>15.87</v>
      </c>
      <c r="O574" s="12">
        <v>53</v>
      </c>
      <c r="P574" s="97">
        <v>100</v>
      </c>
      <c r="Q574" s="12">
        <f t="shared" si="115"/>
        <v>2</v>
      </c>
      <c r="R574" s="12" t="str">
        <f t="shared" si="116"/>
        <v>Đạt</v>
      </c>
      <c r="S574" s="10"/>
      <c r="T574" s="95"/>
    </row>
    <row r="575" spans="1:21" s="84" customFormat="1" hidden="1" x14ac:dyDescent="0.25">
      <c r="A575" s="9" t="s">
        <v>153</v>
      </c>
      <c r="B575" s="1"/>
      <c r="C575" s="1" t="s">
        <v>394</v>
      </c>
      <c r="D575" s="15">
        <f t="shared" si="113"/>
        <v>35</v>
      </c>
      <c r="E575" s="83">
        <v>15.83</v>
      </c>
      <c r="F575" s="83">
        <v>19.170000000000002</v>
      </c>
      <c r="G575" s="12">
        <v>49</v>
      </c>
      <c r="H575" s="12">
        <v>100</v>
      </c>
      <c r="I575" s="12">
        <f t="shared" si="114"/>
        <v>2</v>
      </c>
      <c r="J575" s="12" t="str">
        <f t="shared" si="117"/>
        <v>Đạt</v>
      </c>
      <c r="K575" s="10"/>
      <c r="L575" s="96">
        <f t="shared" si="112"/>
        <v>35</v>
      </c>
      <c r="M575" s="10">
        <v>15.83</v>
      </c>
      <c r="N575" s="10">
        <v>19.170000000000002</v>
      </c>
      <c r="O575" s="12">
        <v>49</v>
      </c>
      <c r="P575" s="97">
        <v>99.1</v>
      </c>
      <c r="Q575" s="12">
        <f t="shared" si="115"/>
        <v>2</v>
      </c>
      <c r="R575" s="12" t="str">
        <f t="shared" si="116"/>
        <v>Đạt</v>
      </c>
      <c r="S575" s="10"/>
      <c r="T575" s="95"/>
    </row>
    <row r="576" spans="1:21" s="84" customFormat="1" hidden="1" x14ac:dyDescent="0.25">
      <c r="A576" s="9" t="s">
        <v>154</v>
      </c>
      <c r="B576" s="1"/>
      <c r="C576" s="1" t="s">
        <v>395</v>
      </c>
      <c r="D576" s="15">
        <f t="shared" si="113"/>
        <v>17.329999999999998</v>
      </c>
      <c r="E576" s="83">
        <v>9.33</v>
      </c>
      <c r="F576" s="83">
        <v>8</v>
      </c>
      <c r="G576" s="12">
        <v>59</v>
      </c>
      <c r="H576" s="12">
        <v>100</v>
      </c>
      <c r="I576" s="12">
        <f t="shared" si="114"/>
        <v>2</v>
      </c>
      <c r="J576" s="12" t="str">
        <f t="shared" si="117"/>
        <v>Đạt</v>
      </c>
      <c r="K576" s="10"/>
      <c r="L576" s="96">
        <f t="shared" si="112"/>
        <v>17.329999999999998</v>
      </c>
      <c r="M576" s="10">
        <v>9.33</v>
      </c>
      <c r="N576" s="10">
        <v>8</v>
      </c>
      <c r="O576" s="12">
        <v>59</v>
      </c>
      <c r="P576" s="97">
        <v>98.7</v>
      </c>
      <c r="Q576" s="12">
        <f t="shared" si="115"/>
        <v>2</v>
      </c>
      <c r="R576" s="12" t="str">
        <f t="shared" si="116"/>
        <v>Đạt</v>
      </c>
      <c r="S576" s="10"/>
      <c r="T576" s="95"/>
    </row>
    <row r="577" spans="1:21" s="84" customFormat="1" hidden="1" x14ac:dyDescent="0.25">
      <c r="A577" s="9" t="s">
        <v>155</v>
      </c>
      <c r="B577" s="1"/>
      <c r="C577" s="1" t="s">
        <v>396</v>
      </c>
      <c r="D577" s="15">
        <f t="shared" si="113"/>
        <v>3.25</v>
      </c>
      <c r="E577" s="83">
        <v>1.95</v>
      </c>
      <c r="F577" s="83">
        <v>1.3</v>
      </c>
      <c r="G577" s="12">
        <v>50</v>
      </c>
      <c r="H577" s="12">
        <v>100</v>
      </c>
      <c r="I577" s="12">
        <f t="shared" si="114"/>
        <v>1</v>
      </c>
      <c r="J577" s="12" t="str">
        <f t="shared" si="117"/>
        <v>Không đạt</v>
      </c>
      <c r="K577" s="10"/>
      <c r="L577" s="96">
        <f t="shared" si="112"/>
        <v>3.25</v>
      </c>
      <c r="M577" s="10">
        <v>1.95</v>
      </c>
      <c r="N577" s="10">
        <v>1.3</v>
      </c>
      <c r="O577" s="12">
        <v>50</v>
      </c>
      <c r="P577" s="97">
        <v>98.7</v>
      </c>
      <c r="Q577" s="12">
        <f t="shared" si="115"/>
        <v>1</v>
      </c>
      <c r="R577" s="12" t="str">
        <f t="shared" si="116"/>
        <v>Không đạt</v>
      </c>
      <c r="S577" s="10"/>
      <c r="T577" s="95"/>
    </row>
    <row r="578" spans="1:21" s="84" customFormat="1" hidden="1" x14ac:dyDescent="0.25">
      <c r="A578" s="9" t="s">
        <v>156</v>
      </c>
      <c r="B578" s="1"/>
      <c r="C578" s="1" t="s">
        <v>397</v>
      </c>
      <c r="D578" s="15">
        <f t="shared" si="113"/>
        <v>5</v>
      </c>
      <c r="E578" s="83">
        <v>1.43</v>
      </c>
      <c r="F578" s="83">
        <v>3.57</v>
      </c>
      <c r="G578" s="12">
        <v>43</v>
      </c>
      <c r="H578" s="12">
        <v>100</v>
      </c>
      <c r="I578" s="12">
        <f t="shared" si="114"/>
        <v>1</v>
      </c>
      <c r="J578" s="12" t="str">
        <f t="shared" si="117"/>
        <v>Không đạt</v>
      </c>
      <c r="K578" s="10"/>
      <c r="L578" s="96">
        <f t="shared" si="112"/>
        <v>5</v>
      </c>
      <c r="M578" s="10">
        <v>1.43</v>
      </c>
      <c r="N578" s="10">
        <v>3.57</v>
      </c>
      <c r="O578" s="12">
        <v>43</v>
      </c>
      <c r="P578" s="97">
        <v>99.3</v>
      </c>
      <c r="Q578" s="12">
        <f t="shared" si="115"/>
        <v>1</v>
      </c>
      <c r="R578" s="12" t="str">
        <f t="shared" si="116"/>
        <v>Không đạt</v>
      </c>
      <c r="S578" s="10"/>
      <c r="T578" s="95"/>
    </row>
    <row r="579" spans="1:21" s="84" customFormat="1" hidden="1" x14ac:dyDescent="0.25">
      <c r="A579" s="9" t="s">
        <v>157</v>
      </c>
      <c r="B579" s="1"/>
      <c r="C579" s="1" t="s">
        <v>398</v>
      </c>
      <c r="D579" s="15">
        <f t="shared" si="113"/>
        <v>33.340000000000003</v>
      </c>
      <c r="E579" s="83">
        <v>15.63</v>
      </c>
      <c r="F579" s="83">
        <v>17.71</v>
      </c>
      <c r="G579" s="12">
        <v>36</v>
      </c>
      <c r="H579" s="12">
        <v>100</v>
      </c>
      <c r="I579" s="12">
        <f t="shared" si="114"/>
        <v>2</v>
      </c>
      <c r="J579" s="12" t="str">
        <f t="shared" si="117"/>
        <v>Đạt</v>
      </c>
      <c r="K579" s="10"/>
      <c r="L579" s="96">
        <f t="shared" ref="L579:L642" si="118">M579+N579</f>
        <v>33.340000000000003</v>
      </c>
      <c r="M579" s="10">
        <v>15.63</v>
      </c>
      <c r="N579" s="10">
        <v>17.71</v>
      </c>
      <c r="O579" s="12">
        <v>36</v>
      </c>
      <c r="P579" s="97">
        <v>98.9</v>
      </c>
      <c r="Q579" s="12">
        <f t="shared" ref="Q579:Q641" si="119">SUM((IF(L579&gt;=16.24,1,0))+(IF(O579&lt;60,1,0))+(IF(P579&lt;90,1,0)))</f>
        <v>2</v>
      </c>
      <c r="R579" s="12" t="str">
        <f t="shared" ref="R579:R641" si="120">IF(Q579&gt;=2,"Đạt","Không đạt")</f>
        <v>Đạt</v>
      </c>
      <c r="S579" s="10"/>
      <c r="T579" s="95"/>
    </row>
    <row r="580" spans="1:21" s="84" customFormat="1" hidden="1" x14ac:dyDescent="0.25">
      <c r="A580" s="9" t="s">
        <v>158</v>
      </c>
      <c r="B580" s="1"/>
      <c r="C580" s="1" t="s">
        <v>399</v>
      </c>
      <c r="D580" s="15">
        <f t="shared" si="113"/>
        <v>5.55</v>
      </c>
      <c r="E580" s="83">
        <v>3.17</v>
      </c>
      <c r="F580" s="83">
        <v>2.38</v>
      </c>
      <c r="G580" s="12">
        <v>33</v>
      </c>
      <c r="H580" s="12">
        <v>100</v>
      </c>
      <c r="I580" s="12">
        <f t="shared" si="114"/>
        <v>1</v>
      </c>
      <c r="J580" s="12" t="str">
        <f t="shared" si="117"/>
        <v>Không đạt</v>
      </c>
      <c r="K580" s="10"/>
      <c r="L580" s="96">
        <f t="shared" si="118"/>
        <v>5.55</v>
      </c>
      <c r="M580" s="10">
        <v>3.17</v>
      </c>
      <c r="N580" s="10">
        <v>2.38</v>
      </c>
      <c r="O580" s="12">
        <v>33</v>
      </c>
      <c r="P580" s="97">
        <v>99.3</v>
      </c>
      <c r="Q580" s="12">
        <f t="shared" si="119"/>
        <v>1</v>
      </c>
      <c r="R580" s="12" t="str">
        <f t="shared" si="120"/>
        <v>Không đạt</v>
      </c>
      <c r="S580" s="10"/>
      <c r="T580" s="95"/>
    </row>
    <row r="581" spans="1:21" s="84" customFormat="1" hidden="1" x14ac:dyDescent="0.25">
      <c r="A581" s="9" t="s">
        <v>159</v>
      </c>
      <c r="B581" s="1"/>
      <c r="C581" s="1" t="s">
        <v>400</v>
      </c>
      <c r="D581" s="15">
        <f t="shared" si="113"/>
        <v>21.049999999999997</v>
      </c>
      <c r="E581" s="83">
        <v>15.79</v>
      </c>
      <c r="F581" s="83">
        <v>5.26</v>
      </c>
      <c r="G581" s="12">
        <v>50</v>
      </c>
      <c r="H581" s="12">
        <v>100</v>
      </c>
      <c r="I581" s="12">
        <f t="shared" si="114"/>
        <v>2</v>
      </c>
      <c r="J581" s="12" t="str">
        <f t="shared" si="117"/>
        <v>Đạt</v>
      </c>
      <c r="K581" s="10"/>
      <c r="L581" s="96">
        <f t="shared" si="118"/>
        <v>21.049999999999997</v>
      </c>
      <c r="M581" s="10">
        <v>15.79</v>
      </c>
      <c r="N581" s="10">
        <v>5.26</v>
      </c>
      <c r="O581" s="12">
        <v>50</v>
      </c>
      <c r="P581" s="97">
        <v>98.2</v>
      </c>
      <c r="Q581" s="12">
        <f t="shared" si="119"/>
        <v>2</v>
      </c>
      <c r="R581" s="12" t="str">
        <f t="shared" si="120"/>
        <v>Đạt</v>
      </c>
      <c r="S581" s="10"/>
      <c r="T581" s="95"/>
    </row>
    <row r="582" spans="1:21" s="84" customFormat="1" hidden="1" x14ac:dyDescent="0.25">
      <c r="A582" s="9" t="s">
        <v>160</v>
      </c>
      <c r="B582" s="1"/>
      <c r="C582" s="1" t="s">
        <v>401</v>
      </c>
      <c r="D582" s="15">
        <f t="shared" si="113"/>
        <v>19.52</v>
      </c>
      <c r="E582" s="83">
        <v>12.2</v>
      </c>
      <c r="F582" s="83">
        <v>7.32</v>
      </c>
      <c r="G582" s="12">
        <v>33</v>
      </c>
      <c r="H582" s="12">
        <v>87.8</v>
      </c>
      <c r="I582" s="12">
        <f t="shared" si="114"/>
        <v>3</v>
      </c>
      <c r="J582" s="12" t="str">
        <f t="shared" si="117"/>
        <v>Đạt</v>
      </c>
      <c r="K582" s="10"/>
      <c r="L582" s="96">
        <f t="shared" si="118"/>
        <v>19.52</v>
      </c>
      <c r="M582" s="10">
        <v>12.2</v>
      </c>
      <c r="N582" s="10">
        <v>7.32</v>
      </c>
      <c r="O582" s="12">
        <v>33</v>
      </c>
      <c r="P582" s="97">
        <v>97.6</v>
      </c>
      <c r="Q582" s="12">
        <f t="shared" si="119"/>
        <v>2</v>
      </c>
      <c r="R582" s="12" t="str">
        <f t="shared" si="120"/>
        <v>Đạt</v>
      </c>
      <c r="S582" s="10"/>
      <c r="T582" s="95"/>
    </row>
    <row r="583" spans="1:21" s="84" customFormat="1" hidden="1" x14ac:dyDescent="0.25">
      <c r="A583" s="9" t="s">
        <v>161</v>
      </c>
      <c r="B583" s="1"/>
      <c r="C583" s="1" t="s">
        <v>402</v>
      </c>
      <c r="D583" s="15">
        <f t="shared" si="113"/>
        <v>9.1</v>
      </c>
      <c r="E583" s="83">
        <v>4.55</v>
      </c>
      <c r="F583" s="83">
        <v>4.55</v>
      </c>
      <c r="G583" s="12">
        <v>40</v>
      </c>
      <c r="H583" s="12">
        <v>100</v>
      </c>
      <c r="I583" s="12">
        <f t="shared" si="114"/>
        <v>1</v>
      </c>
      <c r="J583" s="12" t="str">
        <f t="shared" si="117"/>
        <v>Không đạt</v>
      </c>
      <c r="K583" s="10"/>
      <c r="L583" s="96">
        <f t="shared" si="118"/>
        <v>9.1</v>
      </c>
      <c r="M583" s="10">
        <v>4.55</v>
      </c>
      <c r="N583" s="10">
        <v>4.55</v>
      </c>
      <c r="O583" s="12">
        <v>40</v>
      </c>
      <c r="P583" s="97">
        <v>98.5</v>
      </c>
      <c r="Q583" s="12">
        <f t="shared" si="119"/>
        <v>1</v>
      </c>
      <c r="R583" s="12" t="str">
        <f t="shared" si="120"/>
        <v>Không đạt</v>
      </c>
      <c r="S583" s="10"/>
      <c r="T583" s="95"/>
    </row>
    <row r="584" spans="1:21" s="84" customFormat="1" hidden="1" x14ac:dyDescent="0.25">
      <c r="A584" s="9" t="s">
        <v>162</v>
      </c>
      <c r="B584" s="1"/>
      <c r="C584" s="1" t="s">
        <v>403</v>
      </c>
      <c r="D584" s="15">
        <f t="shared" si="113"/>
        <v>33</v>
      </c>
      <c r="E584" s="83">
        <v>28</v>
      </c>
      <c r="F584" s="83">
        <v>5</v>
      </c>
      <c r="G584" s="12">
        <v>45</v>
      </c>
      <c r="H584" s="12">
        <v>57.1</v>
      </c>
      <c r="I584" s="12">
        <f t="shared" si="114"/>
        <v>3</v>
      </c>
      <c r="J584" s="12" t="str">
        <f t="shared" si="117"/>
        <v>Đạt</v>
      </c>
      <c r="K584" s="10"/>
      <c r="L584" s="96">
        <f t="shared" si="118"/>
        <v>33</v>
      </c>
      <c r="M584" s="10">
        <v>28</v>
      </c>
      <c r="N584" s="10">
        <v>5</v>
      </c>
      <c r="O584" s="12">
        <v>45</v>
      </c>
      <c r="P584" s="97">
        <v>96.4</v>
      </c>
      <c r="Q584" s="12">
        <f t="shared" si="119"/>
        <v>2</v>
      </c>
      <c r="R584" s="12" t="str">
        <f t="shared" si="120"/>
        <v>Đạt</v>
      </c>
      <c r="S584" s="10"/>
      <c r="T584" s="95"/>
    </row>
    <row r="585" spans="1:21" s="84" customFormat="1" ht="30" x14ac:dyDescent="0.25">
      <c r="A585" s="9" t="s">
        <v>163</v>
      </c>
      <c r="B585" s="1"/>
      <c r="C585" s="1" t="s">
        <v>404</v>
      </c>
      <c r="D585" s="15">
        <f t="shared" si="113"/>
        <v>14.7</v>
      </c>
      <c r="E585" s="83">
        <v>11.76</v>
      </c>
      <c r="F585" s="83">
        <v>2.94</v>
      </c>
      <c r="G585" s="12">
        <v>58</v>
      </c>
      <c r="H585" s="12">
        <v>71.900000000000006</v>
      </c>
      <c r="I585" s="12">
        <f t="shared" si="114"/>
        <v>2</v>
      </c>
      <c r="J585" s="12" t="str">
        <f t="shared" si="117"/>
        <v>Đạt</v>
      </c>
      <c r="K585" s="10"/>
      <c r="L585" s="96">
        <f t="shared" si="118"/>
        <v>14.7</v>
      </c>
      <c r="M585" s="10">
        <v>11.76</v>
      </c>
      <c r="N585" s="10">
        <v>2.94</v>
      </c>
      <c r="O585" s="12">
        <v>58</v>
      </c>
      <c r="P585" s="97">
        <v>96.9</v>
      </c>
      <c r="Q585" s="12">
        <f t="shared" si="119"/>
        <v>1</v>
      </c>
      <c r="R585" s="12" t="str">
        <f t="shared" si="120"/>
        <v>Không đạt</v>
      </c>
      <c r="S585" s="10" t="s">
        <v>1185</v>
      </c>
      <c r="T585" s="95"/>
    </row>
    <row r="586" spans="1:21" s="100" customFormat="1" x14ac:dyDescent="0.25">
      <c r="A586" s="19" t="s">
        <v>344</v>
      </c>
      <c r="B586" s="20" t="s">
        <v>122</v>
      </c>
      <c r="C586" s="20"/>
      <c r="D586" s="22"/>
      <c r="E586" s="104"/>
      <c r="F586" s="104"/>
      <c r="G586" s="22"/>
      <c r="H586" s="22"/>
      <c r="I586" s="89"/>
      <c r="J586" s="89"/>
      <c r="K586" s="90">
        <f>COUNTIF(J587:J600,"Đạt")</f>
        <v>7</v>
      </c>
      <c r="L586" s="98">
        <f t="shared" si="118"/>
        <v>0</v>
      </c>
      <c r="M586" s="21"/>
      <c r="N586" s="21"/>
      <c r="O586" s="22"/>
      <c r="P586" s="99"/>
      <c r="Q586" s="89"/>
      <c r="R586" s="89"/>
      <c r="S586" s="90" t="s">
        <v>1197</v>
      </c>
      <c r="U586" s="84"/>
    </row>
    <row r="587" spans="1:21" s="84" customFormat="1" hidden="1" x14ac:dyDescent="0.25">
      <c r="A587" s="9" t="s">
        <v>148</v>
      </c>
      <c r="B587" s="1"/>
      <c r="C587" s="1" t="s">
        <v>333</v>
      </c>
      <c r="D587" s="12">
        <f t="shared" ref="D587:D600" si="121">E587+F587</f>
        <v>10.46</v>
      </c>
      <c r="E587" s="11">
        <v>4.6500000000000004</v>
      </c>
      <c r="F587" s="11">
        <v>5.81</v>
      </c>
      <c r="G587" s="15">
        <v>75</v>
      </c>
      <c r="H587" s="15">
        <v>100</v>
      </c>
      <c r="I587" s="12">
        <f>SUM((IF(D587&gt;=16.24,1,0))+(IF(G587&lt;60,1,0))+(IF(H587&lt;90,1,0)))</f>
        <v>0</v>
      </c>
      <c r="J587" s="12" t="str">
        <f>IF(I587&gt;=2,"Đạt","Không đạt")</f>
        <v>Không đạt</v>
      </c>
      <c r="K587" s="10"/>
      <c r="L587" s="96">
        <f t="shared" si="118"/>
        <v>10.5</v>
      </c>
      <c r="M587" s="10">
        <v>4.7</v>
      </c>
      <c r="N587" s="10">
        <v>5.8</v>
      </c>
      <c r="O587" s="15">
        <v>75</v>
      </c>
      <c r="P587" s="97">
        <v>100</v>
      </c>
      <c r="Q587" s="12">
        <f t="shared" si="119"/>
        <v>0</v>
      </c>
      <c r="R587" s="12" t="str">
        <f t="shared" si="120"/>
        <v>Không đạt</v>
      </c>
      <c r="S587" s="10"/>
      <c r="T587" s="95"/>
    </row>
    <row r="588" spans="1:21" s="84" customFormat="1" hidden="1" x14ac:dyDescent="0.25">
      <c r="A588" s="9" t="s">
        <v>149</v>
      </c>
      <c r="B588" s="1"/>
      <c r="C588" s="1" t="s">
        <v>335</v>
      </c>
      <c r="D588" s="12">
        <f t="shared" si="121"/>
        <v>5.26</v>
      </c>
      <c r="E588" s="11">
        <v>2.63</v>
      </c>
      <c r="F588" s="11">
        <v>2.63</v>
      </c>
      <c r="G588" s="15">
        <v>100</v>
      </c>
      <c r="H588" s="15">
        <v>100</v>
      </c>
      <c r="I588" s="12">
        <f t="shared" ref="I588:I600" si="122">SUM((IF(D588&gt;=16.24,1,0))+(IF(G588&lt;60,1,0))+(IF(H588&lt;90,1,0)))</f>
        <v>0</v>
      </c>
      <c r="J588" s="12" t="str">
        <f t="shared" ref="J588:J600" si="123">IF(I588&gt;=2,"Đạt","Không đạt")</f>
        <v>Không đạt</v>
      </c>
      <c r="K588" s="10"/>
      <c r="L588" s="96">
        <f t="shared" si="118"/>
        <v>5.2</v>
      </c>
      <c r="M588" s="10">
        <v>2.6</v>
      </c>
      <c r="N588" s="10">
        <v>2.6</v>
      </c>
      <c r="O588" s="15">
        <v>100</v>
      </c>
      <c r="P588" s="97">
        <v>100</v>
      </c>
      <c r="Q588" s="12">
        <f t="shared" si="119"/>
        <v>0</v>
      </c>
      <c r="R588" s="12" t="str">
        <f t="shared" si="120"/>
        <v>Không đạt</v>
      </c>
      <c r="S588" s="10"/>
      <c r="T588" s="95"/>
    </row>
    <row r="589" spans="1:21" s="84" customFormat="1" hidden="1" x14ac:dyDescent="0.25">
      <c r="A589" s="9" t="s">
        <v>150</v>
      </c>
      <c r="B589" s="1"/>
      <c r="C589" s="1" t="s">
        <v>331</v>
      </c>
      <c r="D589" s="12">
        <f t="shared" si="121"/>
        <v>4.57</v>
      </c>
      <c r="E589" s="11">
        <v>1.52</v>
      </c>
      <c r="F589" s="11">
        <v>3.05</v>
      </c>
      <c r="G589" s="15">
        <v>100</v>
      </c>
      <c r="H589" s="15">
        <v>90.35532994923858</v>
      </c>
      <c r="I589" s="12">
        <f t="shared" si="122"/>
        <v>0</v>
      </c>
      <c r="J589" s="12" t="str">
        <f t="shared" si="123"/>
        <v>Không đạt</v>
      </c>
      <c r="K589" s="10"/>
      <c r="L589" s="96">
        <f t="shared" si="118"/>
        <v>4.5</v>
      </c>
      <c r="M589" s="10">
        <v>1.5</v>
      </c>
      <c r="N589" s="10">
        <v>3</v>
      </c>
      <c r="O589" s="15">
        <v>100</v>
      </c>
      <c r="P589" s="97">
        <v>88.8</v>
      </c>
      <c r="Q589" s="12">
        <f t="shared" si="119"/>
        <v>1</v>
      </c>
      <c r="R589" s="12" t="str">
        <f t="shared" si="120"/>
        <v>Không đạt</v>
      </c>
      <c r="S589" s="10"/>
      <c r="T589" s="95"/>
    </row>
    <row r="590" spans="1:21" s="84" customFormat="1" hidden="1" x14ac:dyDescent="0.25">
      <c r="A590" s="9" t="s">
        <v>151</v>
      </c>
      <c r="B590" s="1"/>
      <c r="C590" s="1" t="s">
        <v>332</v>
      </c>
      <c r="D590" s="12">
        <f t="shared" si="121"/>
        <v>3.4499999999999997</v>
      </c>
      <c r="E590" s="11">
        <v>0.86</v>
      </c>
      <c r="F590" s="11">
        <v>2.59</v>
      </c>
      <c r="G590" s="15">
        <v>80</v>
      </c>
      <c r="H590" s="15">
        <v>56.896551724137936</v>
      </c>
      <c r="I590" s="12">
        <f t="shared" si="122"/>
        <v>1</v>
      </c>
      <c r="J590" s="12" t="str">
        <f t="shared" si="123"/>
        <v>Không đạt</v>
      </c>
      <c r="K590" s="10"/>
      <c r="L590" s="96">
        <f t="shared" si="118"/>
        <v>3.5</v>
      </c>
      <c r="M590" s="10">
        <v>0.9</v>
      </c>
      <c r="N590" s="10">
        <v>2.6</v>
      </c>
      <c r="O590" s="15">
        <v>80</v>
      </c>
      <c r="P590" s="97">
        <v>56.5</v>
      </c>
      <c r="Q590" s="12">
        <f t="shared" si="119"/>
        <v>1</v>
      </c>
      <c r="R590" s="12" t="str">
        <f t="shared" si="120"/>
        <v>Không đạt</v>
      </c>
      <c r="S590" s="10"/>
      <c r="T590" s="95"/>
    </row>
    <row r="591" spans="1:21" s="84" customFormat="1" hidden="1" x14ac:dyDescent="0.25">
      <c r="A591" s="9" t="s">
        <v>152</v>
      </c>
      <c r="B591" s="1"/>
      <c r="C591" s="1" t="s">
        <v>334</v>
      </c>
      <c r="D591" s="12">
        <f t="shared" si="121"/>
        <v>11.63</v>
      </c>
      <c r="E591" s="11">
        <v>4.6500000000000004</v>
      </c>
      <c r="F591" s="11">
        <v>6.98</v>
      </c>
      <c r="G591" s="15">
        <v>74.999999999999986</v>
      </c>
      <c r="H591" s="15">
        <v>41.860465116279073</v>
      </c>
      <c r="I591" s="12">
        <f t="shared" si="122"/>
        <v>1</v>
      </c>
      <c r="J591" s="12" t="str">
        <f t="shared" si="123"/>
        <v>Không đạt</v>
      </c>
      <c r="K591" s="10"/>
      <c r="L591" s="96">
        <f t="shared" si="118"/>
        <v>11.7</v>
      </c>
      <c r="M591" s="10">
        <v>4.7</v>
      </c>
      <c r="N591" s="10">
        <v>7</v>
      </c>
      <c r="O591" s="15">
        <v>74.999999999999986</v>
      </c>
      <c r="P591" s="97">
        <v>100</v>
      </c>
      <c r="Q591" s="12">
        <f t="shared" si="119"/>
        <v>0</v>
      </c>
      <c r="R591" s="12" t="str">
        <f t="shared" si="120"/>
        <v>Không đạt</v>
      </c>
      <c r="S591" s="10"/>
      <c r="T591" s="95"/>
    </row>
    <row r="592" spans="1:21" s="84" customFormat="1" hidden="1" x14ac:dyDescent="0.25">
      <c r="A592" s="9" t="s">
        <v>153</v>
      </c>
      <c r="B592" s="1"/>
      <c r="C592" s="1" t="s">
        <v>336</v>
      </c>
      <c r="D592" s="12">
        <f t="shared" si="121"/>
        <v>6.79</v>
      </c>
      <c r="E592" s="11">
        <v>2.91</v>
      </c>
      <c r="F592" s="11">
        <v>3.88</v>
      </c>
      <c r="G592" s="15">
        <v>100</v>
      </c>
      <c r="H592" s="15">
        <v>73.786407766990294</v>
      </c>
      <c r="I592" s="12">
        <f t="shared" si="122"/>
        <v>1</v>
      </c>
      <c r="J592" s="12" t="str">
        <f t="shared" si="123"/>
        <v>Không đạt</v>
      </c>
      <c r="K592" s="10"/>
      <c r="L592" s="96">
        <f t="shared" si="118"/>
        <v>6.8</v>
      </c>
      <c r="M592" s="10">
        <v>2.9</v>
      </c>
      <c r="N592" s="10">
        <v>3.9</v>
      </c>
      <c r="O592" s="15">
        <v>100</v>
      </c>
      <c r="P592" s="97">
        <v>100</v>
      </c>
      <c r="Q592" s="12">
        <f t="shared" si="119"/>
        <v>0</v>
      </c>
      <c r="R592" s="12" t="str">
        <f t="shared" si="120"/>
        <v>Không đạt</v>
      </c>
      <c r="S592" s="10"/>
      <c r="T592" s="95"/>
    </row>
    <row r="593" spans="1:21" s="84" customFormat="1" hidden="1" x14ac:dyDescent="0.25">
      <c r="A593" s="9" t="s">
        <v>154</v>
      </c>
      <c r="B593" s="1"/>
      <c r="C593" s="1" t="s">
        <v>342</v>
      </c>
      <c r="D593" s="12">
        <f t="shared" si="121"/>
        <v>0</v>
      </c>
      <c r="E593" s="11">
        <v>0</v>
      </c>
      <c r="F593" s="11">
        <v>0</v>
      </c>
      <c r="G593" s="15">
        <v>44.444444444444443</v>
      </c>
      <c r="H593" s="15">
        <v>100</v>
      </c>
      <c r="I593" s="12">
        <f t="shared" si="122"/>
        <v>1</v>
      </c>
      <c r="J593" s="12" t="str">
        <f t="shared" si="123"/>
        <v>Không đạt</v>
      </c>
      <c r="K593" s="10"/>
      <c r="L593" s="96">
        <f t="shared" si="118"/>
        <v>0</v>
      </c>
      <c r="M593" s="10">
        <v>0</v>
      </c>
      <c r="N593" s="10">
        <v>0</v>
      </c>
      <c r="O593" s="15">
        <v>44.444444444444443</v>
      </c>
      <c r="P593" s="97">
        <v>100</v>
      </c>
      <c r="Q593" s="12">
        <f t="shared" si="119"/>
        <v>1</v>
      </c>
      <c r="R593" s="12" t="str">
        <f t="shared" si="120"/>
        <v>Không đạt</v>
      </c>
      <c r="S593" s="10"/>
      <c r="T593" s="95"/>
    </row>
    <row r="594" spans="1:21" s="84" customFormat="1" ht="30" x14ac:dyDescent="0.25">
      <c r="A594" s="9" t="s">
        <v>155</v>
      </c>
      <c r="B594" s="1"/>
      <c r="C594" s="1" t="s">
        <v>337</v>
      </c>
      <c r="D594" s="12">
        <f t="shared" si="121"/>
        <v>58.99</v>
      </c>
      <c r="E594" s="11">
        <v>58.99</v>
      </c>
      <c r="F594" s="11">
        <v>0</v>
      </c>
      <c r="G594" s="15">
        <v>66.666666666666657</v>
      </c>
      <c r="H594" s="15">
        <v>74.157303370786522</v>
      </c>
      <c r="I594" s="12">
        <f t="shared" si="122"/>
        <v>2</v>
      </c>
      <c r="J594" s="12" t="str">
        <f t="shared" si="123"/>
        <v>Đạt</v>
      </c>
      <c r="K594" s="10"/>
      <c r="L594" s="96">
        <f t="shared" si="118"/>
        <v>58.43</v>
      </c>
      <c r="M594" s="10">
        <v>58.43</v>
      </c>
      <c r="N594" s="10">
        <v>0</v>
      </c>
      <c r="O594" s="15">
        <v>66.666666666666657</v>
      </c>
      <c r="P594" s="97">
        <v>100</v>
      </c>
      <c r="Q594" s="12">
        <f t="shared" si="119"/>
        <v>1</v>
      </c>
      <c r="R594" s="12" t="str">
        <f t="shared" si="120"/>
        <v>Không đạt</v>
      </c>
      <c r="S594" s="10" t="s">
        <v>1185</v>
      </c>
      <c r="T594" s="95"/>
    </row>
    <row r="595" spans="1:21" s="84" customFormat="1" hidden="1" x14ac:dyDescent="0.25">
      <c r="A595" s="9" t="s">
        <v>156</v>
      </c>
      <c r="B595" s="1"/>
      <c r="C595" s="1" t="s">
        <v>341</v>
      </c>
      <c r="D595" s="12">
        <f t="shared" si="121"/>
        <v>27.779999999999998</v>
      </c>
      <c r="E595" s="11">
        <v>23.81</v>
      </c>
      <c r="F595" s="11">
        <v>3.97</v>
      </c>
      <c r="G595" s="15">
        <v>85.714285714285708</v>
      </c>
      <c r="H595" s="15">
        <v>69.841269841269835</v>
      </c>
      <c r="I595" s="12">
        <f t="shared" si="122"/>
        <v>2</v>
      </c>
      <c r="J595" s="12" t="str">
        <f t="shared" si="123"/>
        <v>Đạt</v>
      </c>
      <c r="K595" s="10"/>
      <c r="L595" s="96">
        <f t="shared" si="118"/>
        <v>27.81</v>
      </c>
      <c r="M595" s="10">
        <v>23.81</v>
      </c>
      <c r="N595" s="10">
        <v>4</v>
      </c>
      <c r="O595" s="15">
        <v>85.714285714285708</v>
      </c>
      <c r="P595" s="97">
        <v>87.5</v>
      </c>
      <c r="Q595" s="12">
        <f t="shared" si="119"/>
        <v>2</v>
      </c>
      <c r="R595" s="12" t="str">
        <f t="shared" si="120"/>
        <v>Đạt</v>
      </c>
      <c r="S595" s="10"/>
      <c r="T595" s="95"/>
    </row>
    <row r="596" spans="1:21" s="84" customFormat="1" hidden="1" x14ac:dyDescent="0.25">
      <c r="A596" s="9" t="s">
        <v>157</v>
      </c>
      <c r="B596" s="1"/>
      <c r="C596" s="1" t="s">
        <v>296</v>
      </c>
      <c r="D596" s="12">
        <f t="shared" si="121"/>
        <v>20</v>
      </c>
      <c r="E596" s="11">
        <v>20</v>
      </c>
      <c r="F596" s="11">
        <v>0</v>
      </c>
      <c r="G596" s="15">
        <v>0</v>
      </c>
      <c r="H596" s="15">
        <v>100</v>
      </c>
      <c r="I596" s="12">
        <f t="shared" si="122"/>
        <v>2</v>
      </c>
      <c r="J596" s="12" t="str">
        <f t="shared" si="123"/>
        <v>Đạt</v>
      </c>
      <c r="K596" s="10"/>
      <c r="L596" s="96">
        <f t="shared" si="118"/>
        <v>20</v>
      </c>
      <c r="M596" s="10">
        <v>20</v>
      </c>
      <c r="N596" s="10">
        <v>0</v>
      </c>
      <c r="O596" s="15">
        <v>0</v>
      </c>
      <c r="P596" s="97">
        <v>100</v>
      </c>
      <c r="Q596" s="12">
        <f t="shared" si="119"/>
        <v>2</v>
      </c>
      <c r="R596" s="12" t="str">
        <f t="shared" si="120"/>
        <v>Đạt</v>
      </c>
      <c r="S596" s="10"/>
      <c r="T596" s="95"/>
    </row>
    <row r="597" spans="1:21" s="84" customFormat="1" hidden="1" x14ac:dyDescent="0.25">
      <c r="A597" s="9" t="s">
        <v>158</v>
      </c>
      <c r="B597" s="1"/>
      <c r="C597" s="1" t="s">
        <v>338</v>
      </c>
      <c r="D597" s="12">
        <f t="shared" si="121"/>
        <v>37.04</v>
      </c>
      <c r="E597" s="11">
        <v>37.04</v>
      </c>
      <c r="F597" s="11">
        <v>0</v>
      </c>
      <c r="G597" s="15">
        <v>30</v>
      </c>
      <c r="H597" s="15">
        <v>55.555555555555557</v>
      </c>
      <c r="I597" s="12">
        <f t="shared" si="122"/>
        <v>3</v>
      </c>
      <c r="J597" s="12" t="str">
        <f t="shared" si="123"/>
        <v>Đạt</v>
      </c>
      <c r="K597" s="10"/>
      <c r="L597" s="96">
        <f t="shared" si="118"/>
        <v>37.04</v>
      </c>
      <c r="M597" s="10">
        <v>37.04</v>
      </c>
      <c r="N597" s="10">
        <v>0</v>
      </c>
      <c r="O597" s="15">
        <v>30</v>
      </c>
      <c r="P597" s="97">
        <v>100</v>
      </c>
      <c r="Q597" s="12">
        <f t="shared" si="119"/>
        <v>2</v>
      </c>
      <c r="R597" s="12" t="str">
        <f t="shared" si="120"/>
        <v>Đạt</v>
      </c>
      <c r="S597" s="10"/>
      <c r="T597" s="95"/>
    </row>
    <row r="598" spans="1:21" s="84" customFormat="1" hidden="1" x14ac:dyDescent="0.25">
      <c r="A598" s="9" t="s">
        <v>159</v>
      </c>
      <c r="B598" s="1"/>
      <c r="C598" s="1" t="s">
        <v>339</v>
      </c>
      <c r="D598" s="12">
        <f t="shared" si="121"/>
        <v>60.45</v>
      </c>
      <c r="E598" s="11">
        <v>41.79</v>
      </c>
      <c r="F598" s="11">
        <v>18.66</v>
      </c>
      <c r="G598" s="15">
        <v>50.704225352112672</v>
      </c>
      <c r="H598" s="15">
        <v>76.119402985074629</v>
      </c>
      <c r="I598" s="12">
        <f t="shared" si="122"/>
        <v>3</v>
      </c>
      <c r="J598" s="12" t="str">
        <f t="shared" si="123"/>
        <v>Đạt</v>
      </c>
      <c r="K598" s="10"/>
      <c r="L598" s="96">
        <f t="shared" si="118"/>
        <v>60.489999999999995</v>
      </c>
      <c r="M598" s="10">
        <v>41.79</v>
      </c>
      <c r="N598" s="10">
        <v>18.7</v>
      </c>
      <c r="O598" s="15">
        <v>50.704225352112672</v>
      </c>
      <c r="P598" s="97">
        <v>72.7</v>
      </c>
      <c r="Q598" s="12">
        <f t="shared" si="119"/>
        <v>3</v>
      </c>
      <c r="R598" s="12" t="str">
        <f t="shared" si="120"/>
        <v>Đạt</v>
      </c>
      <c r="S598" s="10"/>
      <c r="T598" s="95"/>
    </row>
    <row r="599" spans="1:21" s="84" customFormat="1" hidden="1" x14ac:dyDescent="0.25">
      <c r="A599" s="9" t="s">
        <v>160</v>
      </c>
      <c r="B599" s="1"/>
      <c r="C599" s="1" t="s">
        <v>340</v>
      </c>
      <c r="D599" s="12">
        <f t="shared" si="121"/>
        <v>40.98</v>
      </c>
      <c r="E599" s="11">
        <v>40.98</v>
      </c>
      <c r="F599" s="11">
        <v>0</v>
      </c>
      <c r="G599" s="15">
        <v>16.666666666666664</v>
      </c>
      <c r="H599" s="15">
        <v>75.757575757575751</v>
      </c>
      <c r="I599" s="12">
        <f t="shared" si="122"/>
        <v>3</v>
      </c>
      <c r="J599" s="12" t="str">
        <f t="shared" si="123"/>
        <v>Đạt</v>
      </c>
      <c r="K599" s="10"/>
      <c r="L599" s="96">
        <f t="shared" si="118"/>
        <v>40.98</v>
      </c>
      <c r="M599" s="10">
        <v>40.98</v>
      </c>
      <c r="N599" s="10">
        <v>0</v>
      </c>
      <c r="O599" s="15">
        <v>16.666666666666664</v>
      </c>
      <c r="P599" s="97">
        <v>70.3</v>
      </c>
      <c r="Q599" s="12">
        <f t="shared" si="119"/>
        <v>3</v>
      </c>
      <c r="R599" s="12" t="str">
        <f t="shared" si="120"/>
        <v>Đạt</v>
      </c>
      <c r="S599" s="10"/>
      <c r="T599" s="95"/>
    </row>
    <row r="600" spans="1:21" s="84" customFormat="1" hidden="1" x14ac:dyDescent="0.25">
      <c r="A600" s="9" t="s">
        <v>161</v>
      </c>
      <c r="B600" s="1"/>
      <c r="C600" s="1" t="s">
        <v>343</v>
      </c>
      <c r="D600" s="12">
        <f t="shared" si="121"/>
        <v>17.82</v>
      </c>
      <c r="E600" s="11">
        <v>17.82</v>
      </c>
      <c r="F600" s="11">
        <v>0</v>
      </c>
      <c r="G600" s="15">
        <v>53.333333333333336</v>
      </c>
      <c r="H600" s="15">
        <v>70.114942528735639</v>
      </c>
      <c r="I600" s="12">
        <f t="shared" si="122"/>
        <v>3</v>
      </c>
      <c r="J600" s="12" t="str">
        <f t="shared" si="123"/>
        <v>Đạt</v>
      </c>
      <c r="K600" s="10"/>
      <c r="L600" s="96">
        <f t="shared" si="118"/>
        <v>18.39</v>
      </c>
      <c r="M600" s="10">
        <v>18.39</v>
      </c>
      <c r="N600" s="10">
        <v>0</v>
      </c>
      <c r="O600" s="15">
        <v>53.333333333333336</v>
      </c>
      <c r="P600" s="97">
        <v>85.2</v>
      </c>
      <c r="Q600" s="12">
        <f t="shared" si="119"/>
        <v>3</v>
      </c>
      <c r="R600" s="12" t="str">
        <f t="shared" si="120"/>
        <v>Đạt</v>
      </c>
      <c r="S600" s="10"/>
      <c r="T600" s="95"/>
    </row>
    <row r="601" spans="1:21" s="100" customFormat="1" x14ac:dyDescent="0.25">
      <c r="A601" s="19" t="s">
        <v>617</v>
      </c>
      <c r="B601" s="20" t="s">
        <v>123</v>
      </c>
      <c r="C601" s="20"/>
      <c r="D601" s="22"/>
      <c r="E601" s="104"/>
      <c r="F601" s="104"/>
      <c r="G601" s="22"/>
      <c r="H601" s="22"/>
      <c r="I601" s="22"/>
      <c r="J601" s="22"/>
      <c r="K601" s="90">
        <f>COUNTIF(J602:J624,"Đạt")</f>
        <v>21</v>
      </c>
      <c r="L601" s="98">
        <f t="shared" si="118"/>
        <v>0</v>
      </c>
      <c r="M601" s="21"/>
      <c r="N601" s="21"/>
      <c r="O601" s="22"/>
      <c r="P601" s="99"/>
      <c r="Q601" s="89"/>
      <c r="R601" s="89"/>
      <c r="S601" s="90" t="s">
        <v>1196</v>
      </c>
      <c r="U601" s="84"/>
    </row>
    <row r="602" spans="1:21" s="84" customFormat="1" hidden="1" x14ac:dyDescent="0.25">
      <c r="A602" s="9" t="s">
        <v>148</v>
      </c>
      <c r="B602" s="1"/>
      <c r="C602" s="1" t="s">
        <v>618</v>
      </c>
      <c r="D602" s="12">
        <f t="shared" ref="D602:D623" si="124">E602+F602</f>
        <v>7.9600000000000009</v>
      </c>
      <c r="E602" s="83">
        <v>6.9</v>
      </c>
      <c r="F602" s="83">
        <v>1.06</v>
      </c>
      <c r="G602" s="12">
        <v>53</v>
      </c>
      <c r="H602" s="12">
        <v>89.42</v>
      </c>
      <c r="I602" s="12">
        <f>SUM((IF(D602&gt;=16.24,1,0))+(IF(G602&lt;60,1,0))+(IF(H602&lt;90,1,0)))</f>
        <v>2</v>
      </c>
      <c r="J602" s="12" t="str">
        <f>IF(I602&gt;=2,"Đạt","Không đạt")</f>
        <v>Đạt</v>
      </c>
      <c r="K602" s="10"/>
      <c r="L602" s="96">
        <f t="shared" si="118"/>
        <v>7.9600000000000009</v>
      </c>
      <c r="M602" s="10">
        <v>6.9</v>
      </c>
      <c r="N602" s="10">
        <v>1.06</v>
      </c>
      <c r="O602" s="12">
        <v>53</v>
      </c>
      <c r="P602" s="97">
        <v>89.473684210526315</v>
      </c>
      <c r="Q602" s="12">
        <f t="shared" si="119"/>
        <v>2</v>
      </c>
      <c r="R602" s="12" t="str">
        <f t="shared" si="120"/>
        <v>Đạt</v>
      </c>
      <c r="S602" s="10"/>
      <c r="T602" s="95"/>
    </row>
    <row r="603" spans="1:21" s="84" customFormat="1" ht="30" hidden="1" x14ac:dyDescent="0.25">
      <c r="A603" s="9" t="s">
        <v>149</v>
      </c>
      <c r="B603" s="1"/>
      <c r="C603" s="1" t="s">
        <v>619</v>
      </c>
      <c r="D603" s="12">
        <f t="shared" si="124"/>
        <v>11.31</v>
      </c>
      <c r="E603" s="83">
        <v>9.9</v>
      </c>
      <c r="F603" s="83">
        <v>1.41</v>
      </c>
      <c r="G603" s="12">
        <v>50</v>
      </c>
      <c r="H603" s="12">
        <v>89.44</v>
      </c>
      <c r="I603" s="12">
        <f t="shared" ref="I603:I624" si="125">SUM((IF(D603&gt;=16.24,1,0))+(IF(G603&lt;60,1,0))+(IF(H603&lt;90,1,0)))</f>
        <v>2</v>
      </c>
      <c r="J603" s="12" t="str">
        <f t="shared" ref="J603:J624" si="126">IF(I603&gt;=2,"Đạt","Không đạt")</f>
        <v>Đạt</v>
      </c>
      <c r="K603" s="10"/>
      <c r="L603" s="96">
        <f t="shared" si="118"/>
        <v>11.31</v>
      </c>
      <c r="M603" s="10">
        <v>9.9</v>
      </c>
      <c r="N603" s="10">
        <v>1.41</v>
      </c>
      <c r="O603" s="12">
        <v>50</v>
      </c>
      <c r="P603" s="97">
        <v>89.285714285714292</v>
      </c>
      <c r="Q603" s="12">
        <f t="shared" si="119"/>
        <v>2</v>
      </c>
      <c r="R603" s="12" t="str">
        <f t="shared" si="120"/>
        <v>Đạt</v>
      </c>
      <c r="S603" s="10"/>
      <c r="T603" s="95"/>
    </row>
    <row r="604" spans="1:21" s="84" customFormat="1" ht="30" hidden="1" x14ac:dyDescent="0.25">
      <c r="A604" s="9" t="s">
        <v>150</v>
      </c>
      <c r="B604" s="1"/>
      <c r="C604" s="1" t="s">
        <v>620</v>
      </c>
      <c r="D604" s="12">
        <f t="shared" si="124"/>
        <v>13.53</v>
      </c>
      <c r="E604" s="83">
        <v>12.1</v>
      </c>
      <c r="F604" s="83">
        <v>1.43</v>
      </c>
      <c r="G604" s="12">
        <v>52</v>
      </c>
      <c r="H604" s="12">
        <v>89.29</v>
      </c>
      <c r="I604" s="12">
        <f t="shared" si="125"/>
        <v>2</v>
      </c>
      <c r="J604" s="12" t="str">
        <f t="shared" si="126"/>
        <v>Đạt</v>
      </c>
      <c r="K604" s="10"/>
      <c r="L604" s="96">
        <f t="shared" si="118"/>
        <v>13.53</v>
      </c>
      <c r="M604" s="10">
        <v>12.1</v>
      </c>
      <c r="N604" s="10">
        <v>1.43</v>
      </c>
      <c r="O604" s="12">
        <v>52</v>
      </c>
      <c r="P604" s="97">
        <v>89.436619718309871</v>
      </c>
      <c r="Q604" s="12">
        <f t="shared" si="119"/>
        <v>2</v>
      </c>
      <c r="R604" s="12" t="str">
        <f t="shared" si="120"/>
        <v>Đạt</v>
      </c>
      <c r="S604" s="10"/>
      <c r="T604" s="95"/>
    </row>
    <row r="605" spans="1:21" s="84" customFormat="1" ht="30" hidden="1" x14ac:dyDescent="0.25">
      <c r="A605" s="9" t="s">
        <v>151</v>
      </c>
      <c r="B605" s="1"/>
      <c r="C605" s="1" t="s">
        <v>621</v>
      </c>
      <c r="D605" s="12">
        <f t="shared" si="124"/>
        <v>12.58</v>
      </c>
      <c r="E605" s="83">
        <v>10.9</v>
      </c>
      <c r="F605" s="83">
        <v>1.68</v>
      </c>
      <c r="G605" s="12">
        <v>49</v>
      </c>
      <c r="H605" s="12">
        <v>89.92</v>
      </c>
      <c r="I605" s="12">
        <f t="shared" si="125"/>
        <v>2</v>
      </c>
      <c r="J605" s="12" t="str">
        <f t="shared" si="126"/>
        <v>Đạt</v>
      </c>
      <c r="K605" s="10"/>
      <c r="L605" s="96">
        <f t="shared" si="118"/>
        <v>12.58</v>
      </c>
      <c r="M605" s="10">
        <v>10.9</v>
      </c>
      <c r="N605" s="10">
        <v>1.68</v>
      </c>
      <c r="O605" s="12">
        <v>49</v>
      </c>
      <c r="P605" s="97">
        <v>89.285714285714292</v>
      </c>
      <c r="Q605" s="12">
        <f t="shared" si="119"/>
        <v>2</v>
      </c>
      <c r="R605" s="12" t="str">
        <f t="shared" si="120"/>
        <v>Đạt</v>
      </c>
      <c r="S605" s="10"/>
      <c r="T605" s="95"/>
    </row>
    <row r="606" spans="1:21" s="84" customFormat="1" hidden="1" x14ac:dyDescent="0.25">
      <c r="A606" s="9" t="s">
        <v>152</v>
      </c>
      <c r="B606" s="1"/>
      <c r="C606" s="1" t="s">
        <v>431</v>
      </c>
      <c r="D606" s="12">
        <f t="shared" si="124"/>
        <v>13.270000000000001</v>
      </c>
      <c r="E606" s="83">
        <v>11.8</v>
      </c>
      <c r="F606" s="83">
        <v>1.47</v>
      </c>
      <c r="G606" s="12">
        <v>42</v>
      </c>
      <c r="H606" s="12">
        <v>89.71</v>
      </c>
      <c r="I606" s="12">
        <f t="shared" si="125"/>
        <v>2</v>
      </c>
      <c r="J606" s="12" t="str">
        <f t="shared" si="126"/>
        <v>Đạt</v>
      </c>
      <c r="K606" s="10"/>
      <c r="L606" s="96">
        <f t="shared" si="118"/>
        <v>13.270000000000001</v>
      </c>
      <c r="M606" s="10">
        <v>11.8</v>
      </c>
      <c r="N606" s="10">
        <v>1.47</v>
      </c>
      <c r="O606" s="12">
        <v>42</v>
      </c>
      <c r="P606" s="97">
        <v>89.743589743589737</v>
      </c>
      <c r="Q606" s="12">
        <f t="shared" si="119"/>
        <v>2</v>
      </c>
      <c r="R606" s="12" t="str">
        <f t="shared" si="120"/>
        <v>Đạt</v>
      </c>
      <c r="S606" s="10"/>
      <c r="T606" s="95"/>
    </row>
    <row r="607" spans="1:21" s="84" customFormat="1" ht="30" hidden="1" x14ac:dyDescent="0.25">
      <c r="A607" s="9" t="s">
        <v>153</v>
      </c>
      <c r="B607" s="1"/>
      <c r="C607" s="1" t="s">
        <v>622</v>
      </c>
      <c r="D607" s="12">
        <f t="shared" si="124"/>
        <v>8.9500000000000011</v>
      </c>
      <c r="E607" s="83">
        <v>7.9</v>
      </c>
      <c r="F607" s="83">
        <v>1.05</v>
      </c>
      <c r="G607" s="12">
        <v>45</v>
      </c>
      <c r="H607" s="12">
        <v>89.47</v>
      </c>
      <c r="I607" s="12">
        <f t="shared" si="125"/>
        <v>2</v>
      </c>
      <c r="J607" s="12" t="str">
        <f t="shared" si="126"/>
        <v>Đạt</v>
      </c>
      <c r="K607" s="10"/>
      <c r="L607" s="96">
        <f t="shared" si="118"/>
        <v>8.9500000000000011</v>
      </c>
      <c r="M607" s="10">
        <v>7.9</v>
      </c>
      <c r="N607" s="10">
        <v>1.05</v>
      </c>
      <c r="O607" s="12">
        <v>45</v>
      </c>
      <c r="P607" s="97">
        <v>89.705882352941174</v>
      </c>
      <c r="Q607" s="12">
        <f t="shared" si="119"/>
        <v>2</v>
      </c>
      <c r="R607" s="12" t="str">
        <f t="shared" si="120"/>
        <v>Đạt</v>
      </c>
      <c r="S607" s="10"/>
      <c r="T607" s="95"/>
    </row>
    <row r="608" spans="1:21" s="84" customFormat="1" ht="30" hidden="1" x14ac:dyDescent="0.25">
      <c r="A608" s="9" t="s">
        <v>154</v>
      </c>
      <c r="B608" s="1"/>
      <c r="C608" s="1" t="s">
        <v>623</v>
      </c>
      <c r="D608" s="12">
        <f t="shared" si="124"/>
        <v>10.28</v>
      </c>
      <c r="E608" s="83">
        <v>9</v>
      </c>
      <c r="F608" s="83">
        <v>1.28</v>
      </c>
      <c r="G608" s="12">
        <v>39</v>
      </c>
      <c r="H608" s="12">
        <v>89.74</v>
      </c>
      <c r="I608" s="12">
        <f t="shared" si="125"/>
        <v>2</v>
      </c>
      <c r="J608" s="12" t="str">
        <f t="shared" si="126"/>
        <v>Đạt</v>
      </c>
      <c r="K608" s="10"/>
      <c r="L608" s="96">
        <f t="shared" si="118"/>
        <v>10.28</v>
      </c>
      <c r="M608" s="10">
        <v>9</v>
      </c>
      <c r="N608" s="10">
        <v>1.28</v>
      </c>
      <c r="O608" s="12">
        <v>39</v>
      </c>
      <c r="P608" s="97">
        <v>89.473684210526315</v>
      </c>
      <c r="Q608" s="12">
        <f t="shared" si="119"/>
        <v>2</v>
      </c>
      <c r="R608" s="12" t="str">
        <f t="shared" si="120"/>
        <v>Đạt</v>
      </c>
      <c r="S608" s="10"/>
      <c r="T608" s="95"/>
    </row>
    <row r="609" spans="1:20" s="84" customFormat="1" ht="30" x14ac:dyDescent="0.25">
      <c r="A609" s="9" t="s">
        <v>155</v>
      </c>
      <c r="B609" s="1"/>
      <c r="C609" s="1" t="s">
        <v>624</v>
      </c>
      <c r="D609" s="12">
        <f t="shared" si="124"/>
        <v>11.3</v>
      </c>
      <c r="E609" s="83">
        <v>9.8000000000000007</v>
      </c>
      <c r="F609" s="83">
        <v>1.5</v>
      </c>
      <c r="G609" s="12">
        <v>56</v>
      </c>
      <c r="H609" s="12">
        <v>89.47</v>
      </c>
      <c r="I609" s="12">
        <f t="shared" si="125"/>
        <v>2</v>
      </c>
      <c r="J609" s="12" t="str">
        <f t="shared" si="126"/>
        <v>Đạt</v>
      </c>
      <c r="K609" s="10"/>
      <c r="L609" s="96">
        <f t="shared" si="118"/>
        <v>11.3</v>
      </c>
      <c r="M609" s="10">
        <v>9.8000000000000007</v>
      </c>
      <c r="N609" s="10">
        <v>1.5</v>
      </c>
      <c r="O609" s="12">
        <v>56</v>
      </c>
      <c r="P609" s="97">
        <v>99.421965317919074</v>
      </c>
      <c r="Q609" s="12">
        <f t="shared" si="119"/>
        <v>1</v>
      </c>
      <c r="R609" s="12" t="str">
        <f t="shared" si="120"/>
        <v>Không đạt</v>
      </c>
      <c r="S609" s="10" t="s">
        <v>1185</v>
      </c>
      <c r="T609" s="95"/>
    </row>
    <row r="610" spans="1:20" s="84" customFormat="1" ht="30" hidden="1" x14ac:dyDescent="0.25">
      <c r="A610" s="9" t="s">
        <v>156</v>
      </c>
      <c r="B610" s="1"/>
      <c r="C610" s="1" t="s">
        <v>625</v>
      </c>
      <c r="D610" s="12">
        <f t="shared" si="124"/>
        <v>21.6</v>
      </c>
      <c r="E610" s="83">
        <v>21.1</v>
      </c>
      <c r="F610" s="83">
        <v>0.5</v>
      </c>
      <c r="G610" s="12">
        <v>54</v>
      </c>
      <c r="H610" s="12">
        <v>78.89</v>
      </c>
      <c r="I610" s="12">
        <f t="shared" si="125"/>
        <v>3</v>
      </c>
      <c r="J610" s="12" t="str">
        <f t="shared" si="126"/>
        <v>Đạt</v>
      </c>
      <c r="K610" s="10"/>
      <c r="L610" s="96">
        <f t="shared" si="118"/>
        <v>21.6</v>
      </c>
      <c r="M610" s="10">
        <v>21.1</v>
      </c>
      <c r="N610" s="10">
        <v>0.5</v>
      </c>
      <c r="O610" s="12">
        <v>54</v>
      </c>
      <c r="P610" s="97">
        <v>88.372093023255815</v>
      </c>
      <c r="Q610" s="12">
        <f t="shared" si="119"/>
        <v>3</v>
      </c>
      <c r="R610" s="12" t="str">
        <f t="shared" si="120"/>
        <v>Đạt</v>
      </c>
      <c r="S610" s="10"/>
      <c r="T610" s="95"/>
    </row>
    <row r="611" spans="1:20" s="84" customFormat="1" ht="30" hidden="1" x14ac:dyDescent="0.25">
      <c r="A611" s="9" t="s">
        <v>157</v>
      </c>
      <c r="B611" s="1"/>
      <c r="C611" s="1" t="s">
        <v>626</v>
      </c>
      <c r="D611" s="12">
        <f t="shared" si="124"/>
        <v>7.7</v>
      </c>
      <c r="E611" s="83">
        <v>7.7</v>
      </c>
      <c r="F611" s="83">
        <v>0</v>
      </c>
      <c r="G611" s="12">
        <v>55</v>
      </c>
      <c r="H611" s="12">
        <v>100</v>
      </c>
      <c r="I611" s="12">
        <f t="shared" si="125"/>
        <v>1</v>
      </c>
      <c r="J611" s="12" t="str">
        <f t="shared" si="126"/>
        <v>Không đạt</v>
      </c>
      <c r="K611" s="10"/>
      <c r="L611" s="96">
        <f t="shared" si="118"/>
        <v>7.7</v>
      </c>
      <c r="M611" s="10">
        <v>7.7</v>
      </c>
      <c r="N611" s="10">
        <v>0</v>
      </c>
      <c r="O611" s="12">
        <v>55</v>
      </c>
      <c r="P611" s="97">
        <v>93.649795661741592</v>
      </c>
      <c r="Q611" s="12">
        <f t="shared" si="119"/>
        <v>1</v>
      </c>
      <c r="R611" s="12" t="str">
        <f t="shared" si="120"/>
        <v>Không đạt</v>
      </c>
      <c r="S611" s="10"/>
      <c r="T611" s="95"/>
    </row>
    <row r="612" spans="1:20" s="84" customFormat="1" ht="30" hidden="1" x14ac:dyDescent="0.25">
      <c r="A612" s="9" t="s">
        <v>158</v>
      </c>
      <c r="B612" s="1"/>
      <c r="C612" s="1" t="s">
        <v>627</v>
      </c>
      <c r="D612" s="12">
        <f t="shared" si="124"/>
        <v>2.8</v>
      </c>
      <c r="E612" s="83">
        <v>2.8</v>
      </c>
      <c r="F612" s="83">
        <v>0</v>
      </c>
      <c r="G612" s="12">
        <v>58</v>
      </c>
      <c r="H612" s="12">
        <v>100</v>
      </c>
      <c r="I612" s="12">
        <f t="shared" si="125"/>
        <v>1</v>
      </c>
      <c r="J612" s="12" t="str">
        <f t="shared" si="126"/>
        <v>Không đạt</v>
      </c>
      <c r="K612" s="10"/>
      <c r="L612" s="96">
        <f t="shared" si="118"/>
        <v>2.8</v>
      </c>
      <c r="M612" s="10">
        <v>2.8</v>
      </c>
      <c r="N612" s="10">
        <v>0</v>
      </c>
      <c r="O612" s="12">
        <v>58</v>
      </c>
      <c r="P612" s="97">
        <v>100</v>
      </c>
      <c r="Q612" s="12">
        <f t="shared" si="119"/>
        <v>1</v>
      </c>
      <c r="R612" s="12" t="str">
        <f t="shared" si="120"/>
        <v>Không đạt</v>
      </c>
      <c r="S612" s="10"/>
      <c r="T612" s="95"/>
    </row>
    <row r="613" spans="1:20" s="84" customFormat="1" ht="30" x14ac:dyDescent="0.25">
      <c r="A613" s="9" t="s">
        <v>159</v>
      </c>
      <c r="B613" s="1"/>
      <c r="C613" s="1" t="s">
        <v>628</v>
      </c>
      <c r="D613" s="12">
        <f t="shared" si="124"/>
        <v>11.7</v>
      </c>
      <c r="E613" s="83">
        <v>11.7</v>
      </c>
      <c r="F613" s="83">
        <v>0</v>
      </c>
      <c r="G613" s="12">
        <v>52</v>
      </c>
      <c r="H613" s="12">
        <v>87.12</v>
      </c>
      <c r="I613" s="12">
        <f t="shared" si="125"/>
        <v>2</v>
      </c>
      <c r="J613" s="12" t="str">
        <f t="shared" si="126"/>
        <v>Đạt</v>
      </c>
      <c r="K613" s="10"/>
      <c r="L613" s="96">
        <f t="shared" si="118"/>
        <v>11.7</v>
      </c>
      <c r="M613" s="10">
        <v>11.7</v>
      </c>
      <c r="N613" s="10">
        <v>0</v>
      </c>
      <c r="O613" s="12">
        <v>52</v>
      </c>
      <c r="P613" s="97">
        <v>100</v>
      </c>
      <c r="Q613" s="12">
        <f t="shared" si="119"/>
        <v>1</v>
      </c>
      <c r="R613" s="12" t="str">
        <f t="shared" si="120"/>
        <v>Không đạt</v>
      </c>
      <c r="S613" s="10" t="s">
        <v>1185</v>
      </c>
      <c r="T613" s="95"/>
    </row>
    <row r="614" spans="1:20" s="84" customFormat="1" hidden="1" x14ac:dyDescent="0.25">
      <c r="A614" s="9" t="s">
        <v>160</v>
      </c>
      <c r="B614" s="1"/>
      <c r="C614" s="1" t="s">
        <v>629</v>
      </c>
      <c r="D614" s="12">
        <f t="shared" si="124"/>
        <v>9.3000000000000007</v>
      </c>
      <c r="E614" s="83">
        <v>9.3000000000000007</v>
      </c>
      <c r="F614" s="83">
        <v>0</v>
      </c>
      <c r="G614" s="12">
        <v>41</v>
      </c>
      <c r="H614" s="12">
        <v>88.37</v>
      </c>
      <c r="I614" s="12">
        <f t="shared" si="125"/>
        <v>2</v>
      </c>
      <c r="J614" s="12" t="str">
        <f t="shared" si="126"/>
        <v>Đạt</v>
      </c>
      <c r="K614" s="10"/>
      <c r="L614" s="96">
        <f t="shared" si="118"/>
        <v>9.3000000000000007</v>
      </c>
      <c r="M614" s="10">
        <v>9.3000000000000007</v>
      </c>
      <c r="N614" s="10">
        <v>0</v>
      </c>
      <c r="O614" s="12">
        <v>41</v>
      </c>
      <c r="P614" s="97">
        <v>88.28125</v>
      </c>
      <c r="Q614" s="12">
        <f t="shared" si="119"/>
        <v>2</v>
      </c>
      <c r="R614" s="12" t="str">
        <f t="shared" si="120"/>
        <v>Đạt</v>
      </c>
      <c r="S614" s="10"/>
      <c r="T614" s="95"/>
    </row>
    <row r="615" spans="1:20" s="84" customFormat="1" hidden="1" x14ac:dyDescent="0.25">
      <c r="A615" s="9" t="s">
        <v>161</v>
      </c>
      <c r="B615" s="1"/>
      <c r="C615" s="1" t="s">
        <v>630</v>
      </c>
      <c r="D615" s="12">
        <f t="shared" si="124"/>
        <v>15.6</v>
      </c>
      <c r="E615" s="83">
        <v>15.6</v>
      </c>
      <c r="F615" s="83">
        <v>0</v>
      </c>
      <c r="G615" s="12">
        <v>40</v>
      </c>
      <c r="H615" s="12">
        <v>88.28</v>
      </c>
      <c r="I615" s="12">
        <f t="shared" si="125"/>
        <v>2</v>
      </c>
      <c r="J615" s="12" t="str">
        <f t="shared" si="126"/>
        <v>Đạt</v>
      </c>
      <c r="K615" s="10"/>
      <c r="L615" s="96">
        <f t="shared" si="118"/>
        <v>15.6</v>
      </c>
      <c r="M615" s="10">
        <v>15.6</v>
      </c>
      <c r="N615" s="10">
        <v>0</v>
      </c>
      <c r="O615" s="12">
        <v>40</v>
      </c>
      <c r="P615" s="97">
        <v>77.049180327868854</v>
      </c>
      <c r="Q615" s="12">
        <f t="shared" si="119"/>
        <v>2</v>
      </c>
      <c r="R615" s="12" t="str">
        <f t="shared" si="120"/>
        <v>Đạt</v>
      </c>
      <c r="S615" s="10"/>
      <c r="T615" s="95"/>
    </row>
    <row r="616" spans="1:20" s="84" customFormat="1" hidden="1" x14ac:dyDescent="0.25">
      <c r="A616" s="9" t="s">
        <v>162</v>
      </c>
      <c r="B616" s="1"/>
      <c r="C616" s="1" t="s">
        <v>631</v>
      </c>
      <c r="D616" s="12">
        <f t="shared" si="124"/>
        <v>15.6</v>
      </c>
      <c r="E616" s="83">
        <v>15.6</v>
      </c>
      <c r="F616" s="83">
        <v>0</v>
      </c>
      <c r="G616" s="12">
        <v>42</v>
      </c>
      <c r="H616" s="12">
        <v>77.05</v>
      </c>
      <c r="I616" s="12">
        <f t="shared" si="125"/>
        <v>2</v>
      </c>
      <c r="J616" s="12" t="str">
        <f t="shared" si="126"/>
        <v>Đạt</v>
      </c>
      <c r="K616" s="10"/>
      <c r="L616" s="96">
        <f t="shared" si="118"/>
        <v>15.6</v>
      </c>
      <c r="M616" s="10">
        <v>15.6</v>
      </c>
      <c r="N616" s="10">
        <v>0</v>
      </c>
      <c r="O616" s="12">
        <v>42</v>
      </c>
      <c r="P616" s="97">
        <v>87.116564417177926</v>
      </c>
      <c r="Q616" s="12">
        <f t="shared" si="119"/>
        <v>2</v>
      </c>
      <c r="R616" s="12" t="str">
        <f t="shared" si="120"/>
        <v>Đạt</v>
      </c>
      <c r="S616" s="10"/>
      <c r="T616" s="95"/>
    </row>
    <row r="617" spans="1:20" s="84" customFormat="1" hidden="1" x14ac:dyDescent="0.25">
      <c r="A617" s="9" t="s">
        <v>163</v>
      </c>
      <c r="B617" s="1"/>
      <c r="C617" s="1" t="s">
        <v>632</v>
      </c>
      <c r="D617" s="12">
        <f t="shared" si="124"/>
        <v>19.43</v>
      </c>
      <c r="E617" s="83">
        <v>3.9</v>
      </c>
      <c r="F617" s="83">
        <v>15.53</v>
      </c>
      <c r="G617" s="12">
        <v>50</v>
      </c>
      <c r="H617" s="12">
        <v>100</v>
      </c>
      <c r="I617" s="12">
        <f t="shared" si="125"/>
        <v>2</v>
      </c>
      <c r="J617" s="12" t="str">
        <f t="shared" si="126"/>
        <v>Đạt</v>
      </c>
      <c r="K617" s="10"/>
      <c r="L617" s="96">
        <f t="shared" si="118"/>
        <v>19.43</v>
      </c>
      <c r="M617" s="10">
        <v>3.9</v>
      </c>
      <c r="N617" s="10">
        <v>15.53</v>
      </c>
      <c r="O617" s="12">
        <v>50</v>
      </c>
      <c r="P617" s="97">
        <v>98.994974874371863</v>
      </c>
      <c r="Q617" s="12">
        <f t="shared" si="119"/>
        <v>2</v>
      </c>
      <c r="R617" s="12" t="str">
        <f t="shared" si="120"/>
        <v>Đạt</v>
      </c>
      <c r="S617" s="10"/>
      <c r="T617" s="95"/>
    </row>
    <row r="618" spans="1:20" s="84" customFormat="1" hidden="1" x14ac:dyDescent="0.25">
      <c r="A618" s="9" t="s">
        <v>164</v>
      </c>
      <c r="B618" s="1"/>
      <c r="C618" s="1" t="s">
        <v>496</v>
      </c>
      <c r="D618" s="12">
        <f t="shared" si="124"/>
        <v>36.43</v>
      </c>
      <c r="E618" s="83">
        <v>20.8</v>
      </c>
      <c r="F618" s="83">
        <v>15.63</v>
      </c>
      <c r="G618" s="12">
        <v>45</v>
      </c>
      <c r="H618" s="12">
        <v>100</v>
      </c>
      <c r="I618" s="12">
        <f t="shared" si="125"/>
        <v>2</v>
      </c>
      <c r="J618" s="12" t="str">
        <f t="shared" si="126"/>
        <v>Đạt</v>
      </c>
      <c r="K618" s="10"/>
      <c r="L618" s="96">
        <f t="shared" si="118"/>
        <v>36.43</v>
      </c>
      <c r="M618" s="10">
        <v>20.8</v>
      </c>
      <c r="N618" s="10">
        <v>15.63</v>
      </c>
      <c r="O618" s="12">
        <v>45</v>
      </c>
      <c r="P618" s="97">
        <v>100</v>
      </c>
      <c r="Q618" s="12">
        <f t="shared" si="119"/>
        <v>2</v>
      </c>
      <c r="R618" s="12" t="str">
        <f t="shared" si="120"/>
        <v>Đạt</v>
      </c>
      <c r="S618" s="10"/>
      <c r="T618" s="95"/>
    </row>
    <row r="619" spans="1:20" s="84" customFormat="1" hidden="1" x14ac:dyDescent="0.25">
      <c r="A619" s="9" t="s">
        <v>165</v>
      </c>
      <c r="B619" s="1"/>
      <c r="C619" s="1" t="s">
        <v>633</v>
      </c>
      <c r="D619" s="12">
        <f t="shared" si="124"/>
        <v>50.05</v>
      </c>
      <c r="E619" s="83">
        <v>38.6</v>
      </c>
      <c r="F619" s="83">
        <v>11.45</v>
      </c>
      <c r="G619" s="12">
        <v>46</v>
      </c>
      <c r="H619" s="12">
        <v>100</v>
      </c>
      <c r="I619" s="12">
        <f t="shared" si="125"/>
        <v>2</v>
      </c>
      <c r="J619" s="12" t="str">
        <f t="shared" si="126"/>
        <v>Đạt</v>
      </c>
      <c r="K619" s="10"/>
      <c r="L619" s="96">
        <f t="shared" si="118"/>
        <v>50.05</v>
      </c>
      <c r="M619" s="10">
        <v>38.6</v>
      </c>
      <c r="N619" s="10">
        <v>11.45</v>
      </c>
      <c r="O619" s="12">
        <v>46</v>
      </c>
      <c r="P619" s="97">
        <v>100</v>
      </c>
      <c r="Q619" s="12">
        <f t="shared" si="119"/>
        <v>2</v>
      </c>
      <c r="R619" s="12" t="str">
        <f t="shared" si="120"/>
        <v>Đạt</v>
      </c>
      <c r="S619" s="10"/>
      <c r="T619" s="95"/>
    </row>
    <row r="620" spans="1:20" s="84" customFormat="1" hidden="1" x14ac:dyDescent="0.25">
      <c r="A620" s="9" t="s">
        <v>166</v>
      </c>
      <c r="B620" s="1"/>
      <c r="C620" s="1" t="s">
        <v>634</v>
      </c>
      <c r="D620" s="12">
        <f t="shared" si="124"/>
        <v>52.73</v>
      </c>
      <c r="E620" s="83">
        <v>39.4</v>
      </c>
      <c r="F620" s="83">
        <v>13.33</v>
      </c>
      <c r="G620" s="12">
        <v>47</v>
      </c>
      <c r="H620" s="12">
        <v>100</v>
      </c>
      <c r="I620" s="12">
        <f t="shared" si="125"/>
        <v>2</v>
      </c>
      <c r="J620" s="12" t="str">
        <f t="shared" si="126"/>
        <v>Đạt</v>
      </c>
      <c r="K620" s="10"/>
      <c r="L620" s="96">
        <f t="shared" si="118"/>
        <v>52.73</v>
      </c>
      <c r="M620" s="10">
        <v>39.4</v>
      </c>
      <c r="N620" s="10">
        <v>13.33</v>
      </c>
      <c r="O620" s="12">
        <v>47</v>
      </c>
      <c r="P620" s="97">
        <v>100</v>
      </c>
      <c r="Q620" s="12">
        <f t="shared" si="119"/>
        <v>2</v>
      </c>
      <c r="R620" s="12" t="str">
        <f t="shared" si="120"/>
        <v>Đạt</v>
      </c>
      <c r="S620" s="10"/>
      <c r="T620" s="95"/>
    </row>
    <row r="621" spans="1:20" s="84" customFormat="1" hidden="1" x14ac:dyDescent="0.25">
      <c r="A621" s="9" t="s">
        <v>167</v>
      </c>
      <c r="B621" s="1"/>
      <c r="C621" s="1" t="s">
        <v>636</v>
      </c>
      <c r="D621" s="12">
        <f t="shared" si="124"/>
        <v>43.3</v>
      </c>
      <c r="E621" s="83">
        <v>28.3</v>
      </c>
      <c r="F621" s="83">
        <v>15</v>
      </c>
      <c r="G621" s="12">
        <v>45</v>
      </c>
      <c r="H621" s="12">
        <v>100</v>
      </c>
      <c r="I621" s="12">
        <f t="shared" si="125"/>
        <v>2</v>
      </c>
      <c r="J621" s="12" t="str">
        <f t="shared" si="126"/>
        <v>Đạt</v>
      </c>
      <c r="K621" s="10"/>
      <c r="L621" s="96">
        <f t="shared" si="118"/>
        <v>43.3</v>
      </c>
      <c r="M621" s="10">
        <v>28.3</v>
      </c>
      <c r="N621" s="10">
        <v>15</v>
      </c>
      <c r="O621" s="12">
        <v>45</v>
      </c>
      <c r="P621" s="97">
        <v>98.373983739837399</v>
      </c>
      <c r="Q621" s="12">
        <f t="shared" si="119"/>
        <v>2</v>
      </c>
      <c r="R621" s="12" t="str">
        <f t="shared" si="120"/>
        <v>Đạt</v>
      </c>
      <c r="S621" s="10"/>
      <c r="T621" s="95"/>
    </row>
    <row r="622" spans="1:20" s="84" customFormat="1" ht="30" hidden="1" x14ac:dyDescent="0.25">
      <c r="A622" s="9" t="s">
        <v>168</v>
      </c>
      <c r="B622" s="1"/>
      <c r="C622" s="1" t="s">
        <v>635</v>
      </c>
      <c r="D622" s="12">
        <f>E622+F622</f>
        <v>52.62</v>
      </c>
      <c r="E622" s="83">
        <v>39.9</v>
      </c>
      <c r="F622" s="83">
        <v>12.72</v>
      </c>
      <c r="G622" s="12">
        <v>51</v>
      </c>
      <c r="H622" s="12">
        <v>100</v>
      </c>
      <c r="I622" s="12">
        <f t="shared" si="125"/>
        <v>2</v>
      </c>
      <c r="J622" s="12" t="str">
        <f t="shared" si="126"/>
        <v>Đạt</v>
      </c>
      <c r="K622" s="10"/>
      <c r="L622" s="96">
        <f t="shared" si="118"/>
        <v>52.62</v>
      </c>
      <c r="M622" s="10">
        <v>39.9</v>
      </c>
      <c r="N622" s="10">
        <v>12.72</v>
      </c>
      <c r="O622" s="12">
        <v>51</v>
      </c>
      <c r="P622" s="97">
        <v>99.166666666666671</v>
      </c>
      <c r="Q622" s="12">
        <f t="shared" si="119"/>
        <v>2</v>
      </c>
      <c r="R622" s="12" t="str">
        <f t="shared" si="120"/>
        <v>Đạt</v>
      </c>
      <c r="S622" s="10"/>
      <c r="T622" s="95"/>
    </row>
    <row r="623" spans="1:20" s="84" customFormat="1" ht="30" hidden="1" x14ac:dyDescent="0.25">
      <c r="A623" s="9" t="s">
        <v>169</v>
      </c>
      <c r="B623" s="1"/>
      <c r="C623" s="1" t="s">
        <v>637</v>
      </c>
      <c r="D623" s="12">
        <f t="shared" si="124"/>
        <v>42.89</v>
      </c>
      <c r="E623" s="83">
        <v>29.9</v>
      </c>
      <c r="F623" s="83">
        <v>12.99</v>
      </c>
      <c r="G623" s="12">
        <v>40</v>
      </c>
      <c r="H623" s="12">
        <v>100</v>
      </c>
      <c r="I623" s="12">
        <f t="shared" si="125"/>
        <v>2</v>
      </c>
      <c r="J623" s="12" t="str">
        <f t="shared" si="126"/>
        <v>Đạt</v>
      </c>
      <c r="K623" s="10"/>
      <c r="L623" s="96">
        <f t="shared" si="118"/>
        <v>42.89</v>
      </c>
      <c r="M623" s="10">
        <v>29.9</v>
      </c>
      <c r="N623" s="10">
        <v>12.99</v>
      </c>
      <c r="O623" s="12">
        <v>40</v>
      </c>
      <c r="P623" s="97">
        <v>100</v>
      </c>
      <c r="Q623" s="12">
        <f t="shared" si="119"/>
        <v>2</v>
      </c>
      <c r="R623" s="12" t="str">
        <f t="shared" si="120"/>
        <v>Đạt</v>
      </c>
      <c r="S623" s="10"/>
      <c r="T623" s="95"/>
    </row>
    <row r="624" spans="1:20" s="84" customFormat="1" ht="30" hidden="1" x14ac:dyDescent="0.25">
      <c r="A624" s="9" t="s">
        <v>170</v>
      </c>
      <c r="B624" s="1"/>
      <c r="C624" s="1" t="s">
        <v>638</v>
      </c>
      <c r="D624" s="12">
        <f>E624+F624</f>
        <v>54.47</v>
      </c>
      <c r="E624" s="83">
        <v>37.4</v>
      </c>
      <c r="F624" s="83">
        <v>17.07</v>
      </c>
      <c r="G624" s="12">
        <v>42</v>
      </c>
      <c r="H624" s="12">
        <v>100</v>
      </c>
      <c r="I624" s="12">
        <f t="shared" si="125"/>
        <v>2</v>
      </c>
      <c r="J624" s="12" t="str">
        <f t="shared" si="126"/>
        <v>Đạt</v>
      </c>
      <c r="K624" s="10"/>
      <c r="L624" s="96">
        <f t="shared" si="118"/>
        <v>54.47</v>
      </c>
      <c r="M624" s="10">
        <v>37.4</v>
      </c>
      <c r="N624" s="10">
        <v>17.07</v>
      </c>
      <c r="O624" s="12">
        <v>42</v>
      </c>
      <c r="P624" s="97">
        <v>98.701298701298697</v>
      </c>
      <c r="Q624" s="12">
        <f t="shared" si="119"/>
        <v>2</v>
      </c>
      <c r="R624" s="12" t="str">
        <f t="shared" si="120"/>
        <v>Đạt</v>
      </c>
      <c r="S624" s="10"/>
      <c r="T624" s="95"/>
    </row>
    <row r="625" spans="1:21" s="100" customFormat="1" ht="38.25" customHeight="1" x14ac:dyDescent="0.25">
      <c r="A625" s="19" t="s">
        <v>537</v>
      </c>
      <c r="B625" s="20" t="s">
        <v>124</v>
      </c>
      <c r="C625" s="20"/>
      <c r="D625" s="22"/>
      <c r="E625" s="104"/>
      <c r="F625" s="104"/>
      <c r="G625" s="22"/>
      <c r="H625" s="22"/>
      <c r="I625" s="22"/>
      <c r="J625" s="22"/>
      <c r="K625" s="21">
        <f>COUNTIF(J626:J641,"Đạt")</f>
        <v>16</v>
      </c>
      <c r="L625" s="123"/>
      <c r="M625" s="21"/>
      <c r="N625" s="21"/>
      <c r="O625" s="22"/>
      <c r="P625" s="124"/>
      <c r="Q625" s="22"/>
      <c r="R625" s="22"/>
      <c r="S625" s="21" t="s">
        <v>1195</v>
      </c>
      <c r="U625" s="95"/>
    </row>
    <row r="626" spans="1:21" s="84" customFormat="1" ht="30" x14ac:dyDescent="0.25">
      <c r="A626" s="9" t="s">
        <v>148</v>
      </c>
      <c r="B626" s="1"/>
      <c r="C626" s="1" t="s">
        <v>538</v>
      </c>
      <c r="D626" s="12">
        <f>E626+F626</f>
        <v>25.31</v>
      </c>
      <c r="E626" s="83">
        <v>8.86</v>
      </c>
      <c r="F626" s="83">
        <v>16.45</v>
      </c>
      <c r="G626" s="12">
        <v>80</v>
      </c>
      <c r="H626" s="12">
        <v>89.87</v>
      </c>
      <c r="I626" s="12">
        <f>SUM((IF(D626&gt;=16.24,1,0))+(IF(G626&lt;60,1,0))+(IF(H626&lt;90,1,0)))</f>
        <v>2</v>
      </c>
      <c r="J626" s="12" t="str">
        <f>IF(I626&gt;=2,"Đạt","Không đạt")</f>
        <v>Đạt</v>
      </c>
      <c r="K626" s="10"/>
      <c r="L626" s="96">
        <f t="shared" si="118"/>
        <v>25.46</v>
      </c>
      <c r="M626" s="10">
        <v>9</v>
      </c>
      <c r="N626" s="10">
        <v>16.46</v>
      </c>
      <c r="O626" s="12">
        <v>80</v>
      </c>
      <c r="P626" s="97">
        <v>100</v>
      </c>
      <c r="Q626" s="12">
        <f t="shared" si="119"/>
        <v>1</v>
      </c>
      <c r="R626" s="12" t="str">
        <f t="shared" si="120"/>
        <v>Không đạt</v>
      </c>
      <c r="S626" s="10" t="s">
        <v>1185</v>
      </c>
      <c r="T626" s="95"/>
    </row>
    <row r="627" spans="1:21" s="84" customFormat="1" hidden="1" x14ac:dyDescent="0.25">
      <c r="A627" s="9" t="s">
        <v>149</v>
      </c>
      <c r="B627" s="1"/>
      <c r="C627" s="1" t="s">
        <v>539</v>
      </c>
      <c r="D627" s="12">
        <f t="shared" ref="D627:D641" si="127">E627+F627</f>
        <v>33.58</v>
      </c>
      <c r="E627" s="83">
        <v>13</v>
      </c>
      <c r="F627" s="83">
        <v>20.58</v>
      </c>
      <c r="G627" s="12">
        <v>50</v>
      </c>
      <c r="H627" s="12">
        <v>91.18</v>
      </c>
      <c r="I627" s="12">
        <f t="shared" ref="I627:I641" si="128">SUM((IF(D627&gt;=16.24,1,0))+(IF(G627&lt;60,1,0))+(IF(H627&lt;90,1,0)))</f>
        <v>2</v>
      </c>
      <c r="J627" s="12" t="str">
        <f t="shared" ref="J627:J641" si="129">IF(I627&gt;=2,"Đạt","Không đạt")</f>
        <v>Đạt</v>
      </c>
      <c r="K627" s="10"/>
      <c r="L627" s="96">
        <f t="shared" si="118"/>
        <v>33.590000000000003</v>
      </c>
      <c r="M627" s="10">
        <v>13</v>
      </c>
      <c r="N627" s="10">
        <v>20.59</v>
      </c>
      <c r="O627" s="12">
        <v>50</v>
      </c>
      <c r="P627" s="97">
        <v>98.5</v>
      </c>
      <c r="Q627" s="12">
        <f t="shared" si="119"/>
        <v>2</v>
      </c>
      <c r="R627" s="12" t="str">
        <f t="shared" si="120"/>
        <v>Đạt</v>
      </c>
      <c r="S627" s="10"/>
      <c r="T627" s="95"/>
    </row>
    <row r="628" spans="1:21" s="84" customFormat="1" ht="30" x14ac:dyDescent="0.25">
      <c r="A628" s="9" t="s">
        <v>150</v>
      </c>
      <c r="B628" s="1"/>
      <c r="C628" s="1" t="s">
        <v>288</v>
      </c>
      <c r="D628" s="12">
        <f t="shared" si="127"/>
        <v>52.069999999999993</v>
      </c>
      <c r="E628" s="83">
        <v>41.66</v>
      </c>
      <c r="F628" s="83">
        <v>10.41</v>
      </c>
      <c r="G628" s="12">
        <v>60</v>
      </c>
      <c r="H628" s="12">
        <v>79.17</v>
      </c>
      <c r="I628" s="12">
        <f t="shared" si="128"/>
        <v>2</v>
      </c>
      <c r="J628" s="12" t="str">
        <f t="shared" si="129"/>
        <v>Đạt</v>
      </c>
      <c r="K628" s="10"/>
      <c r="L628" s="96">
        <f t="shared" si="118"/>
        <v>52.42</v>
      </c>
      <c r="M628" s="10">
        <v>42</v>
      </c>
      <c r="N628" s="10">
        <v>10.42</v>
      </c>
      <c r="O628" s="12">
        <v>60</v>
      </c>
      <c r="P628" s="97">
        <v>98</v>
      </c>
      <c r="Q628" s="12">
        <f t="shared" si="119"/>
        <v>1</v>
      </c>
      <c r="R628" s="12" t="str">
        <f t="shared" si="120"/>
        <v>Không đạt</v>
      </c>
      <c r="S628" s="10" t="s">
        <v>1185</v>
      </c>
      <c r="T628" s="95"/>
    </row>
    <row r="629" spans="1:21" s="84" customFormat="1" ht="30" x14ac:dyDescent="0.25">
      <c r="A629" s="9" t="s">
        <v>151</v>
      </c>
      <c r="B629" s="1"/>
      <c r="C629" s="1" t="s">
        <v>540</v>
      </c>
      <c r="D629" s="12">
        <f t="shared" si="127"/>
        <v>43.07</v>
      </c>
      <c r="E629" s="83">
        <v>18.46</v>
      </c>
      <c r="F629" s="83">
        <v>24.61</v>
      </c>
      <c r="G629" s="12">
        <v>70</v>
      </c>
      <c r="H629" s="12">
        <v>56.92</v>
      </c>
      <c r="I629" s="12">
        <f t="shared" si="128"/>
        <v>2</v>
      </c>
      <c r="J629" s="12" t="str">
        <f t="shared" si="129"/>
        <v>Đạt</v>
      </c>
      <c r="K629" s="10"/>
      <c r="L629" s="96">
        <f t="shared" si="118"/>
        <v>42.620000000000005</v>
      </c>
      <c r="M629" s="10">
        <v>18</v>
      </c>
      <c r="N629" s="10">
        <v>24.62</v>
      </c>
      <c r="O629" s="12">
        <v>70</v>
      </c>
      <c r="P629" s="97">
        <v>100</v>
      </c>
      <c r="Q629" s="12">
        <f t="shared" si="119"/>
        <v>1</v>
      </c>
      <c r="R629" s="12" t="str">
        <f t="shared" si="120"/>
        <v>Không đạt</v>
      </c>
      <c r="S629" s="10" t="s">
        <v>1185</v>
      </c>
      <c r="T629" s="95"/>
    </row>
    <row r="630" spans="1:21" s="84" customFormat="1" hidden="1" x14ac:dyDescent="0.25">
      <c r="A630" s="9" t="s">
        <v>152</v>
      </c>
      <c r="B630" s="1"/>
      <c r="C630" s="1" t="s">
        <v>333</v>
      </c>
      <c r="D630" s="12">
        <f t="shared" si="127"/>
        <v>63.32</v>
      </c>
      <c r="E630" s="83">
        <v>31.66</v>
      </c>
      <c r="F630" s="83">
        <v>31.66</v>
      </c>
      <c r="G630" s="12">
        <v>30</v>
      </c>
      <c r="H630" s="12">
        <v>81.67</v>
      </c>
      <c r="I630" s="12">
        <f t="shared" si="128"/>
        <v>3</v>
      </c>
      <c r="J630" s="12" t="str">
        <f t="shared" si="129"/>
        <v>Đạt</v>
      </c>
      <c r="K630" s="10"/>
      <c r="L630" s="96">
        <f t="shared" si="118"/>
        <v>63.67</v>
      </c>
      <c r="M630" s="10">
        <v>32</v>
      </c>
      <c r="N630" s="10">
        <v>31.67</v>
      </c>
      <c r="O630" s="12">
        <v>30</v>
      </c>
      <c r="P630" s="97">
        <v>97.5</v>
      </c>
      <c r="Q630" s="12">
        <f t="shared" si="119"/>
        <v>2</v>
      </c>
      <c r="R630" s="12" t="str">
        <f t="shared" si="120"/>
        <v>Đạt</v>
      </c>
      <c r="S630" s="10"/>
      <c r="T630" s="95"/>
    </row>
    <row r="631" spans="1:21" s="84" customFormat="1" hidden="1" x14ac:dyDescent="0.25">
      <c r="A631" s="9" t="s">
        <v>153</v>
      </c>
      <c r="B631" s="1"/>
      <c r="C631" s="1" t="s">
        <v>541</v>
      </c>
      <c r="D631" s="12">
        <f t="shared" si="127"/>
        <v>44.16</v>
      </c>
      <c r="E631" s="83">
        <v>15</v>
      </c>
      <c r="F631" s="83">
        <v>29.16</v>
      </c>
      <c r="G631" s="12">
        <v>40</v>
      </c>
      <c r="H631" s="12">
        <v>100</v>
      </c>
      <c r="I631" s="12">
        <f t="shared" si="128"/>
        <v>2</v>
      </c>
      <c r="J631" s="12" t="str">
        <f t="shared" si="129"/>
        <v>Đạt</v>
      </c>
      <c r="K631" s="10"/>
      <c r="L631" s="96">
        <f t="shared" si="118"/>
        <v>43.75</v>
      </c>
      <c r="M631" s="10">
        <v>14.58</v>
      </c>
      <c r="N631" s="10">
        <v>29.17</v>
      </c>
      <c r="O631" s="12">
        <v>40</v>
      </c>
      <c r="P631" s="97">
        <v>100</v>
      </c>
      <c r="Q631" s="12">
        <f t="shared" si="119"/>
        <v>2</v>
      </c>
      <c r="R631" s="12" t="str">
        <f t="shared" si="120"/>
        <v>Đạt</v>
      </c>
      <c r="S631" s="10"/>
      <c r="T631" s="95"/>
    </row>
    <row r="632" spans="1:21" s="84" customFormat="1" hidden="1" x14ac:dyDescent="0.25">
      <c r="A632" s="9" t="s">
        <v>154</v>
      </c>
      <c r="B632" s="1"/>
      <c r="C632" s="1" t="s">
        <v>542</v>
      </c>
      <c r="D632" s="12">
        <f t="shared" si="127"/>
        <v>49.99</v>
      </c>
      <c r="E632" s="83">
        <v>20.190000000000001</v>
      </c>
      <c r="F632" s="83">
        <v>29.8</v>
      </c>
      <c r="G632" s="12">
        <v>50</v>
      </c>
      <c r="H632" s="12">
        <v>76.92</v>
      </c>
      <c r="I632" s="12">
        <f t="shared" si="128"/>
        <v>3</v>
      </c>
      <c r="J632" s="12" t="str">
        <f t="shared" si="129"/>
        <v>Đạt</v>
      </c>
      <c r="K632" s="10"/>
      <c r="L632" s="96">
        <f t="shared" si="118"/>
        <v>49.81</v>
      </c>
      <c r="M632" s="10">
        <v>20</v>
      </c>
      <c r="N632" s="10">
        <v>29.81</v>
      </c>
      <c r="O632" s="12">
        <v>50</v>
      </c>
      <c r="P632" s="97">
        <v>95.2</v>
      </c>
      <c r="Q632" s="12">
        <f t="shared" si="119"/>
        <v>2</v>
      </c>
      <c r="R632" s="12" t="str">
        <f t="shared" si="120"/>
        <v>Đạt</v>
      </c>
      <c r="S632" s="10"/>
      <c r="T632" s="95"/>
    </row>
    <row r="633" spans="1:21" s="84" customFormat="1" ht="30" x14ac:dyDescent="0.25">
      <c r="A633" s="9" t="s">
        <v>155</v>
      </c>
      <c r="B633" s="1"/>
      <c r="C633" s="1" t="s">
        <v>543</v>
      </c>
      <c r="D633" s="12">
        <f t="shared" si="127"/>
        <v>50</v>
      </c>
      <c r="E633" s="83">
        <v>25</v>
      </c>
      <c r="F633" s="83">
        <v>25</v>
      </c>
      <c r="G633" s="12">
        <v>70</v>
      </c>
      <c r="H633" s="12">
        <v>72.22</v>
      </c>
      <c r="I633" s="12">
        <f t="shared" si="128"/>
        <v>2</v>
      </c>
      <c r="J633" s="12" t="str">
        <f t="shared" si="129"/>
        <v>Đạt</v>
      </c>
      <c r="K633" s="10"/>
      <c r="L633" s="96">
        <f t="shared" si="118"/>
        <v>50</v>
      </c>
      <c r="M633" s="10">
        <v>25</v>
      </c>
      <c r="N633" s="10">
        <v>25</v>
      </c>
      <c r="O633" s="12">
        <v>70</v>
      </c>
      <c r="P633" s="97">
        <v>98.7</v>
      </c>
      <c r="Q633" s="12">
        <f t="shared" si="119"/>
        <v>1</v>
      </c>
      <c r="R633" s="12" t="str">
        <f t="shared" si="120"/>
        <v>Không đạt</v>
      </c>
      <c r="S633" s="10" t="s">
        <v>1185</v>
      </c>
      <c r="T633" s="95"/>
    </row>
    <row r="634" spans="1:21" s="84" customFormat="1" hidden="1" x14ac:dyDescent="0.25">
      <c r="A634" s="9" t="s">
        <v>156</v>
      </c>
      <c r="B634" s="1"/>
      <c r="C634" s="1" t="s">
        <v>544</v>
      </c>
      <c r="D634" s="12">
        <f t="shared" si="127"/>
        <v>45.7</v>
      </c>
      <c r="E634" s="83">
        <v>24.28</v>
      </c>
      <c r="F634" s="83">
        <v>21.42</v>
      </c>
      <c r="G634" s="12">
        <v>40</v>
      </c>
      <c r="H634" s="12">
        <v>100</v>
      </c>
      <c r="I634" s="12">
        <f t="shared" si="128"/>
        <v>2</v>
      </c>
      <c r="J634" s="12" t="str">
        <f t="shared" si="129"/>
        <v>Đạt</v>
      </c>
      <c r="K634" s="10"/>
      <c r="L634" s="96">
        <f t="shared" si="118"/>
        <v>45.43</v>
      </c>
      <c r="M634" s="10">
        <v>24</v>
      </c>
      <c r="N634" s="10">
        <v>21.43</v>
      </c>
      <c r="O634" s="12">
        <v>40</v>
      </c>
      <c r="P634" s="97">
        <v>97.1</v>
      </c>
      <c r="Q634" s="12">
        <f t="shared" si="119"/>
        <v>2</v>
      </c>
      <c r="R634" s="12" t="str">
        <f t="shared" si="120"/>
        <v>Đạt</v>
      </c>
      <c r="S634" s="10"/>
      <c r="T634" s="95"/>
    </row>
    <row r="635" spans="1:21" s="84" customFormat="1" ht="30" x14ac:dyDescent="0.25">
      <c r="A635" s="9" t="s">
        <v>157</v>
      </c>
      <c r="B635" s="1"/>
      <c r="C635" s="1" t="s">
        <v>545</v>
      </c>
      <c r="D635" s="12">
        <f t="shared" si="127"/>
        <v>35.049999999999997</v>
      </c>
      <c r="E635" s="83">
        <v>22.72</v>
      </c>
      <c r="F635" s="83">
        <v>12.33</v>
      </c>
      <c r="G635" s="12">
        <v>60</v>
      </c>
      <c r="H635" s="12">
        <v>87.01</v>
      </c>
      <c r="I635" s="12">
        <f t="shared" si="128"/>
        <v>2</v>
      </c>
      <c r="J635" s="12" t="str">
        <f t="shared" si="129"/>
        <v>Đạt</v>
      </c>
      <c r="K635" s="10"/>
      <c r="L635" s="96">
        <f t="shared" si="118"/>
        <v>35.340000000000003</v>
      </c>
      <c r="M635" s="10">
        <v>23</v>
      </c>
      <c r="N635" s="10">
        <v>12.34</v>
      </c>
      <c r="O635" s="12">
        <v>60</v>
      </c>
      <c r="P635" s="97">
        <v>96.2</v>
      </c>
      <c r="Q635" s="12">
        <f t="shared" si="119"/>
        <v>1</v>
      </c>
      <c r="R635" s="12" t="str">
        <f t="shared" si="120"/>
        <v>Không đạt</v>
      </c>
      <c r="S635" s="10" t="s">
        <v>1185</v>
      </c>
      <c r="T635" s="95"/>
    </row>
    <row r="636" spans="1:21" s="84" customFormat="1" ht="30" x14ac:dyDescent="0.25">
      <c r="A636" s="9" t="s">
        <v>158</v>
      </c>
      <c r="B636" s="1"/>
      <c r="C636" s="1" t="s">
        <v>295</v>
      </c>
      <c r="D636" s="12">
        <f t="shared" si="127"/>
        <v>29.990000000000002</v>
      </c>
      <c r="E636" s="83">
        <v>19.23</v>
      </c>
      <c r="F636" s="83">
        <v>10.76</v>
      </c>
      <c r="G636" s="12">
        <v>100</v>
      </c>
      <c r="H636" s="12">
        <v>86.15</v>
      </c>
      <c r="I636" s="12">
        <f t="shared" si="128"/>
        <v>2</v>
      </c>
      <c r="J636" s="12" t="str">
        <f t="shared" si="129"/>
        <v>Đạt</v>
      </c>
      <c r="K636" s="10"/>
      <c r="L636" s="96">
        <f t="shared" si="118"/>
        <v>29.759999999999998</v>
      </c>
      <c r="M636" s="10">
        <v>19.079999999999998</v>
      </c>
      <c r="N636" s="10">
        <v>10.68</v>
      </c>
      <c r="O636" s="12">
        <v>100</v>
      </c>
      <c r="P636" s="97">
        <v>98.5</v>
      </c>
      <c r="Q636" s="12">
        <f t="shared" si="119"/>
        <v>1</v>
      </c>
      <c r="R636" s="12" t="str">
        <f t="shared" si="120"/>
        <v>Không đạt</v>
      </c>
      <c r="S636" s="10" t="s">
        <v>1185</v>
      </c>
      <c r="T636" s="95"/>
    </row>
    <row r="637" spans="1:21" s="84" customFormat="1" ht="30" x14ac:dyDescent="0.25">
      <c r="A637" s="9" t="s">
        <v>159</v>
      </c>
      <c r="B637" s="1"/>
      <c r="C637" s="1" t="s">
        <v>546</v>
      </c>
      <c r="D637" s="12">
        <f t="shared" si="127"/>
        <v>35.46</v>
      </c>
      <c r="E637" s="83">
        <v>24.6</v>
      </c>
      <c r="F637" s="83">
        <v>10.86</v>
      </c>
      <c r="G637" s="12">
        <v>100</v>
      </c>
      <c r="H637" s="12">
        <v>86.95</v>
      </c>
      <c r="I637" s="12">
        <f t="shared" si="128"/>
        <v>2</v>
      </c>
      <c r="J637" s="12" t="str">
        <f t="shared" si="129"/>
        <v>Đạt</v>
      </c>
      <c r="K637" s="10"/>
      <c r="L637" s="96">
        <f t="shared" si="118"/>
        <v>30.869999999999997</v>
      </c>
      <c r="M637" s="10">
        <v>20</v>
      </c>
      <c r="N637" s="10">
        <v>10.87</v>
      </c>
      <c r="O637" s="12">
        <v>100</v>
      </c>
      <c r="P637" s="97">
        <v>100</v>
      </c>
      <c r="Q637" s="12">
        <f t="shared" si="119"/>
        <v>1</v>
      </c>
      <c r="R637" s="12" t="str">
        <f t="shared" si="120"/>
        <v>Không đạt</v>
      </c>
      <c r="S637" s="10" t="s">
        <v>1185</v>
      </c>
      <c r="T637" s="95"/>
    </row>
    <row r="638" spans="1:21" s="84" customFormat="1" ht="30" x14ac:dyDescent="0.25">
      <c r="A638" s="9" t="s">
        <v>160</v>
      </c>
      <c r="B638" s="1"/>
      <c r="C638" s="1" t="s">
        <v>547</v>
      </c>
      <c r="D638" s="12">
        <f t="shared" si="127"/>
        <v>18.25</v>
      </c>
      <c r="E638" s="83">
        <v>13.04</v>
      </c>
      <c r="F638" s="83">
        <v>5.21</v>
      </c>
      <c r="G638" s="12">
        <v>80</v>
      </c>
      <c r="H638" s="12">
        <v>86.96</v>
      </c>
      <c r="I638" s="12">
        <f t="shared" si="128"/>
        <v>2</v>
      </c>
      <c r="J638" s="12" t="str">
        <f t="shared" si="129"/>
        <v>Đạt</v>
      </c>
      <c r="K638" s="10"/>
      <c r="L638" s="96">
        <f t="shared" si="118"/>
        <v>18.22</v>
      </c>
      <c r="M638" s="10">
        <v>13</v>
      </c>
      <c r="N638" s="10">
        <v>5.22</v>
      </c>
      <c r="O638" s="12">
        <v>80</v>
      </c>
      <c r="P638" s="97">
        <v>98.3</v>
      </c>
      <c r="Q638" s="12">
        <f t="shared" si="119"/>
        <v>1</v>
      </c>
      <c r="R638" s="12" t="str">
        <f t="shared" si="120"/>
        <v>Không đạt</v>
      </c>
      <c r="S638" s="10" t="s">
        <v>1185</v>
      </c>
      <c r="T638" s="95"/>
    </row>
    <row r="639" spans="1:21" s="84" customFormat="1" ht="30" x14ac:dyDescent="0.25">
      <c r="A639" s="9" t="s">
        <v>161</v>
      </c>
      <c r="B639" s="1"/>
      <c r="C639" s="1" t="s">
        <v>548</v>
      </c>
      <c r="D639" s="12">
        <f t="shared" si="127"/>
        <v>26.4</v>
      </c>
      <c r="E639" s="83">
        <v>18.399999999999999</v>
      </c>
      <c r="F639" s="83">
        <v>8</v>
      </c>
      <c r="G639" s="12">
        <v>80</v>
      </c>
      <c r="H639" s="12">
        <v>60</v>
      </c>
      <c r="I639" s="12">
        <f t="shared" si="128"/>
        <v>2</v>
      </c>
      <c r="J639" s="12" t="str">
        <f t="shared" si="129"/>
        <v>Đạt</v>
      </c>
      <c r="K639" s="10"/>
      <c r="L639" s="96">
        <f t="shared" si="118"/>
        <v>26</v>
      </c>
      <c r="M639" s="10">
        <v>18</v>
      </c>
      <c r="N639" s="10">
        <v>8</v>
      </c>
      <c r="O639" s="12">
        <v>80</v>
      </c>
      <c r="P639" s="97">
        <v>97.6</v>
      </c>
      <c r="Q639" s="12">
        <f t="shared" si="119"/>
        <v>1</v>
      </c>
      <c r="R639" s="12" t="str">
        <f t="shared" si="120"/>
        <v>Không đạt</v>
      </c>
      <c r="S639" s="10" t="s">
        <v>1185</v>
      </c>
      <c r="T639" s="95"/>
    </row>
    <row r="640" spans="1:21" s="84" customFormat="1" ht="30" x14ac:dyDescent="0.25">
      <c r="A640" s="9" t="s">
        <v>162</v>
      </c>
      <c r="B640" s="1"/>
      <c r="C640" s="1" t="s">
        <v>296</v>
      </c>
      <c r="D640" s="12">
        <f t="shared" si="127"/>
        <v>16.77</v>
      </c>
      <c r="E640" s="83">
        <v>14.09</v>
      </c>
      <c r="F640" s="83">
        <v>2.68</v>
      </c>
      <c r="G640" s="12">
        <v>70</v>
      </c>
      <c r="H640" s="12">
        <v>88.59</v>
      </c>
      <c r="I640" s="12">
        <f t="shared" si="128"/>
        <v>2</v>
      </c>
      <c r="J640" s="12" t="str">
        <f t="shared" si="129"/>
        <v>Đạt</v>
      </c>
      <c r="K640" s="10"/>
      <c r="L640" s="96">
        <f t="shared" si="118"/>
        <v>17.600000000000001</v>
      </c>
      <c r="M640" s="10">
        <v>15</v>
      </c>
      <c r="N640" s="10">
        <v>2.6</v>
      </c>
      <c r="O640" s="12">
        <v>70</v>
      </c>
      <c r="P640" s="97">
        <v>98.7</v>
      </c>
      <c r="Q640" s="12">
        <f t="shared" si="119"/>
        <v>1</v>
      </c>
      <c r="R640" s="12" t="str">
        <f t="shared" si="120"/>
        <v>Không đạt</v>
      </c>
      <c r="S640" s="10" t="s">
        <v>1185</v>
      </c>
      <c r="T640" s="95"/>
    </row>
    <row r="641" spans="1:21" s="84" customFormat="1" hidden="1" x14ac:dyDescent="0.25">
      <c r="A641" s="9" t="s">
        <v>163</v>
      </c>
      <c r="B641" s="1"/>
      <c r="C641" s="1" t="s">
        <v>404</v>
      </c>
      <c r="D641" s="12">
        <f t="shared" si="127"/>
        <v>59.56</v>
      </c>
      <c r="E641" s="83">
        <v>38.29</v>
      </c>
      <c r="F641" s="83">
        <v>21.27</v>
      </c>
      <c r="G641" s="12">
        <v>80</v>
      </c>
      <c r="H641" s="12">
        <v>85.1</v>
      </c>
      <c r="I641" s="12">
        <f t="shared" si="128"/>
        <v>2</v>
      </c>
      <c r="J641" s="12" t="str">
        <f t="shared" si="129"/>
        <v>Đạt</v>
      </c>
      <c r="K641" s="10"/>
      <c r="L641" s="96">
        <f t="shared" si="118"/>
        <v>59.28</v>
      </c>
      <c r="M641" s="10">
        <v>38</v>
      </c>
      <c r="N641" s="10">
        <v>21.28</v>
      </c>
      <c r="O641" s="12">
        <v>80</v>
      </c>
      <c r="P641" s="97">
        <v>87.2</v>
      </c>
      <c r="Q641" s="12">
        <f t="shared" si="119"/>
        <v>2</v>
      </c>
      <c r="R641" s="12" t="str">
        <f t="shared" si="120"/>
        <v>Đạt</v>
      </c>
      <c r="S641" s="10"/>
      <c r="T641" s="95"/>
    </row>
    <row r="642" spans="1:21" s="95" customFormat="1" ht="12" hidden="1" customHeight="1" x14ac:dyDescent="0.25">
      <c r="A642" s="5" t="s">
        <v>1059</v>
      </c>
      <c r="B642" s="6" t="s">
        <v>125</v>
      </c>
      <c r="C642" s="6"/>
      <c r="D642" s="8"/>
      <c r="E642" s="103"/>
      <c r="F642" s="103"/>
      <c r="G642" s="8"/>
      <c r="H642" s="8"/>
      <c r="I642" s="8"/>
      <c r="J642" s="8"/>
      <c r="K642" s="48">
        <f>COUNTIF(J643:J682,"Đạt")</f>
        <v>20</v>
      </c>
      <c r="L642" s="101">
        <f t="shared" si="118"/>
        <v>0</v>
      </c>
      <c r="M642" s="7"/>
      <c r="N642" s="7"/>
      <c r="O642" s="8"/>
      <c r="P642" s="102"/>
      <c r="Q642" s="77"/>
      <c r="R642" s="77"/>
      <c r="S642" s="48"/>
      <c r="T642" s="94"/>
      <c r="U642" s="84"/>
    </row>
    <row r="643" spans="1:21" s="84" customFormat="1" ht="12" hidden="1" customHeight="1" x14ac:dyDescent="0.25">
      <c r="A643" s="9" t="s">
        <v>148</v>
      </c>
      <c r="B643" s="1"/>
      <c r="C643" s="1" t="s">
        <v>1060</v>
      </c>
      <c r="D643" s="12">
        <f>E643+F643</f>
        <v>39.230000000000004</v>
      </c>
      <c r="E643" s="83">
        <v>32.31</v>
      </c>
      <c r="F643" s="83">
        <v>6.92</v>
      </c>
      <c r="G643" s="12">
        <v>56</v>
      </c>
      <c r="H643" s="12">
        <v>88.46</v>
      </c>
      <c r="I643" s="12">
        <f>SUM((IF(D643&gt;=16.24,1,0))+(IF(G643&lt;60,1,0))+(IF(H643&lt;90,1,0)))</f>
        <v>3</v>
      </c>
      <c r="J643" s="12" t="str">
        <f>IF(I643&gt;=2,"Đạt","Không đạt")</f>
        <v>Đạt</v>
      </c>
      <c r="K643" s="10"/>
      <c r="L643" s="96">
        <f t="shared" ref="L643:L706" si="130">M643+N643</f>
        <v>39.230000000000004</v>
      </c>
      <c r="M643" s="10">
        <v>32.31</v>
      </c>
      <c r="N643" s="10">
        <v>6.92</v>
      </c>
      <c r="O643" s="12">
        <v>56</v>
      </c>
      <c r="P643" s="97">
        <v>88.5</v>
      </c>
      <c r="Q643" s="12">
        <f t="shared" ref="Q643:Q706" si="131">SUM((IF(L643&gt;=16.24,1,0))+(IF(O643&lt;60,1,0))+(IF(P643&lt;90,1,0)))</f>
        <v>3</v>
      </c>
      <c r="R643" s="12" t="str">
        <f t="shared" ref="R643:R706" si="132">IF(Q643&gt;=2,"Đạt","Không đạt")</f>
        <v>Đạt</v>
      </c>
      <c r="S643" s="10"/>
      <c r="T643" s="95"/>
    </row>
    <row r="644" spans="1:21" s="84" customFormat="1" ht="12" hidden="1" customHeight="1" x14ac:dyDescent="0.25">
      <c r="A644" s="9" t="s">
        <v>149</v>
      </c>
      <c r="B644" s="1"/>
      <c r="C644" s="1" t="s">
        <v>1061</v>
      </c>
      <c r="D644" s="12">
        <f t="shared" ref="D644:D681" si="133">E644+F644</f>
        <v>45.24</v>
      </c>
      <c r="E644" s="83">
        <v>34.130000000000003</v>
      </c>
      <c r="F644" s="83">
        <v>11.11</v>
      </c>
      <c r="G644" s="12">
        <v>55.6</v>
      </c>
      <c r="H644" s="12">
        <v>87.3</v>
      </c>
      <c r="I644" s="12">
        <f t="shared" ref="I644:I682" si="134">SUM((IF(D644&gt;=16.24,1,0))+(IF(G644&lt;60,1,0))+(IF(H644&lt;90,1,0)))</f>
        <v>3</v>
      </c>
      <c r="J644" s="12" t="str">
        <f t="shared" ref="J644:J682" si="135">IF(I644&gt;=2,"Đạt","Không đạt")</f>
        <v>Đạt</v>
      </c>
      <c r="K644" s="10"/>
      <c r="L644" s="96">
        <f t="shared" si="130"/>
        <v>45.24</v>
      </c>
      <c r="M644" s="10">
        <v>34.130000000000003</v>
      </c>
      <c r="N644" s="10">
        <v>11.11</v>
      </c>
      <c r="O644" s="12">
        <v>55.6</v>
      </c>
      <c r="P644" s="97">
        <v>87.3</v>
      </c>
      <c r="Q644" s="12">
        <f t="shared" si="131"/>
        <v>3</v>
      </c>
      <c r="R644" s="12" t="str">
        <f t="shared" si="132"/>
        <v>Đạt</v>
      </c>
      <c r="S644" s="10"/>
      <c r="T644" s="95"/>
    </row>
    <row r="645" spans="1:21" s="84" customFormat="1" ht="12" hidden="1" customHeight="1" x14ac:dyDescent="0.25">
      <c r="A645" s="9" t="s">
        <v>150</v>
      </c>
      <c r="B645" s="1"/>
      <c r="C645" s="1" t="s">
        <v>1062</v>
      </c>
      <c r="D645" s="12">
        <f t="shared" si="133"/>
        <v>32.22</v>
      </c>
      <c r="E645" s="83">
        <v>17.78</v>
      </c>
      <c r="F645" s="83">
        <v>14.44</v>
      </c>
      <c r="G645" s="12">
        <v>50</v>
      </c>
      <c r="H645" s="12">
        <v>87.78</v>
      </c>
      <c r="I645" s="12">
        <f t="shared" si="134"/>
        <v>3</v>
      </c>
      <c r="J645" s="12" t="str">
        <f t="shared" si="135"/>
        <v>Đạt</v>
      </c>
      <c r="K645" s="10"/>
      <c r="L645" s="96">
        <f t="shared" si="130"/>
        <v>32.22</v>
      </c>
      <c r="M645" s="10">
        <v>17.78</v>
      </c>
      <c r="N645" s="10">
        <v>14.44</v>
      </c>
      <c r="O645" s="12">
        <v>50</v>
      </c>
      <c r="P645" s="97">
        <v>87.8</v>
      </c>
      <c r="Q645" s="12">
        <f t="shared" si="131"/>
        <v>3</v>
      </c>
      <c r="R645" s="12" t="str">
        <f t="shared" si="132"/>
        <v>Đạt</v>
      </c>
      <c r="S645" s="10"/>
      <c r="T645" s="95"/>
    </row>
    <row r="646" spans="1:21" s="84" customFormat="1" ht="12" hidden="1" customHeight="1" x14ac:dyDescent="0.25">
      <c r="A646" s="9" t="s">
        <v>151</v>
      </c>
      <c r="B646" s="1"/>
      <c r="C646" s="1" t="s">
        <v>1063</v>
      </c>
      <c r="D646" s="12">
        <f t="shared" si="133"/>
        <v>12.06</v>
      </c>
      <c r="E646" s="83">
        <v>10.64</v>
      </c>
      <c r="F646" s="83">
        <v>1.42</v>
      </c>
      <c r="G646" s="12">
        <v>59.3</v>
      </c>
      <c r="H646" s="12">
        <v>88.65</v>
      </c>
      <c r="I646" s="12">
        <f t="shared" si="134"/>
        <v>2</v>
      </c>
      <c r="J646" s="12" t="str">
        <f t="shared" si="135"/>
        <v>Đạt</v>
      </c>
      <c r="K646" s="10"/>
      <c r="L646" s="96">
        <f t="shared" si="130"/>
        <v>12.06</v>
      </c>
      <c r="M646" s="10">
        <v>10.64</v>
      </c>
      <c r="N646" s="10">
        <v>1.42</v>
      </c>
      <c r="O646" s="12">
        <v>59.3</v>
      </c>
      <c r="P646" s="97">
        <v>88.7</v>
      </c>
      <c r="Q646" s="12">
        <f t="shared" si="131"/>
        <v>2</v>
      </c>
      <c r="R646" s="12" t="str">
        <f t="shared" si="132"/>
        <v>Đạt</v>
      </c>
      <c r="S646" s="10"/>
      <c r="T646" s="95"/>
    </row>
    <row r="647" spans="1:21" s="84" customFormat="1" ht="12" hidden="1" customHeight="1" x14ac:dyDescent="0.25">
      <c r="A647" s="9" t="s">
        <v>152</v>
      </c>
      <c r="B647" s="1"/>
      <c r="C647" s="1" t="s">
        <v>462</v>
      </c>
      <c r="D647" s="12">
        <f t="shared" si="133"/>
        <v>12.790000000000001</v>
      </c>
      <c r="E647" s="83">
        <v>9.3000000000000007</v>
      </c>
      <c r="F647" s="83">
        <v>3.49</v>
      </c>
      <c r="G647" s="12">
        <v>58.3</v>
      </c>
      <c r="H647" s="12">
        <v>89.53</v>
      </c>
      <c r="I647" s="12">
        <f t="shared" si="134"/>
        <v>2</v>
      </c>
      <c r="J647" s="12" t="str">
        <f t="shared" si="135"/>
        <v>Đạt</v>
      </c>
      <c r="K647" s="10"/>
      <c r="L647" s="96">
        <f t="shared" si="130"/>
        <v>12.790000000000001</v>
      </c>
      <c r="M647" s="10">
        <v>9.3000000000000007</v>
      </c>
      <c r="N647" s="10">
        <v>3.49</v>
      </c>
      <c r="O647" s="12">
        <v>58.3</v>
      </c>
      <c r="P647" s="97">
        <v>89.5</v>
      </c>
      <c r="Q647" s="12">
        <f t="shared" si="131"/>
        <v>2</v>
      </c>
      <c r="R647" s="12" t="str">
        <f t="shared" si="132"/>
        <v>Đạt</v>
      </c>
      <c r="S647" s="10"/>
      <c r="T647" s="95"/>
    </row>
    <row r="648" spans="1:21" s="84" customFormat="1" ht="12" hidden="1" customHeight="1" x14ac:dyDescent="0.25">
      <c r="A648" s="9" t="s">
        <v>153</v>
      </c>
      <c r="B648" s="1"/>
      <c r="C648" s="1" t="s">
        <v>1064</v>
      </c>
      <c r="D648" s="12">
        <f t="shared" si="133"/>
        <v>34.369999999999997</v>
      </c>
      <c r="E648" s="83">
        <v>26.56</v>
      </c>
      <c r="F648" s="83">
        <v>7.81</v>
      </c>
      <c r="G648" s="12">
        <v>59.4</v>
      </c>
      <c r="H648" s="12">
        <v>84.38</v>
      </c>
      <c r="I648" s="12">
        <f t="shared" si="134"/>
        <v>3</v>
      </c>
      <c r="J648" s="12" t="str">
        <f t="shared" si="135"/>
        <v>Đạt</v>
      </c>
      <c r="K648" s="10"/>
      <c r="L648" s="96">
        <f t="shared" si="130"/>
        <v>34.369999999999997</v>
      </c>
      <c r="M648" s="10">
        <v>26.56</v>
      </c>
      <c r="N648" s="10">
        <v>7.81</v>
      </c>
      <c r="O648" s="12">
        <v>59.4</v>
      </c>
      <c r="P648" s="97">
        <v>84.4</v>
      </c>
      <c r="Q648" s="12">
        <f t="shared" si="131"/>
        <v>3</v>
      </c>
      <c r="R648" s="12" t="str">
        <f t="shared" si="132"/>
        <v>Đạt</v>
      </c>
      <c r="S648" s="10"/>
      <c r="T648" s="95"/>
    </row>
    <row r="649" spans="1:21" s="84" customFormat="1" ht="12" hidden="1" customHeight="1" x14ac:dyDescent="0.25">
      <c r="A649" s="9" t="s">
        <v>154</v>
      </c>
      <c r="B649" s="1"/>
      <c r="C649" s="1" t="s">
        <v>1065</v>
      </c>
      <c r="D649" s="12">
        <f t="shared" si="133"/>
        <v>35.090000000000003</v>
      </c>
      <c r="E649" s="83">
        <v>19.3</v>
      </c>
      <c r="F649" s="83">
        <v>15.79</v>
      </c>
      <c r="G649" s="12">
        <v>75</v>
      </c>
      <c r="H649" s="12">
        <v>87.72</v>
      </c>
      <c r="I649" s="12">
        <f t="shared" si="134"/>
        <v>2</v>
      </c>
      <c r="J649" s="12" t="str">
        <f t="shared" si="135"/>
        <v>Đạt</v>
      </c>
      <c r="K649" s="10"/>
      <c r="L649" s="96">
        <f t="shared" si="130"/>
        <v>35.090000000000003</v>
      </c>
      <c r="M649" s="10">
        <v>19.3</v>
      </c>
      <c r="N649" s="10">
        <v>15.79</v>
      </c>
      <c r="O649" s="12">
        <v>75</v>
      </c>
      <c r="P649" s="97">
        <v>87.7</v>
      </c>
      <c r="Q649" s="12">
        <f t="shared" si="131"/>
        <v>2</v>
      </c>
      <c r="R649" s="12" t="str">
        <f t="shared" si="132"/>
        <v>Đạt</v>
      </c>
      <c r="S649" s="10"/>
      <c r="T649" s="95"/>
    </row>
    <row r="650" spans="1:21" s="84" customFormat="1" ht="12" hidden="1" customHeight="1" x14ac:dyDescent="0.25">
      <c r="A650" s="9" t="s">
        <v>155</v>
      </c>
      <c r="B650" s="1"/>
      <c r="C650" s="1" t="s">
        <v>1066</v>
      </c>
      <c r="D650" s="12">
        <f t="shared" si="133"/>
        <v>38.799999999999997</v>
      </c>
      <c r="E650" s="83">
        <v>25.37</v>
      </c>
      <c r="F650" s="83">
        <v>13.43</v>
      </c>
      <c r="G650" s="12">
        <v>73.599999999999994</v>
      </c>
      <c r="H650" s="12">
        <v>89.55</v>
      </c>
      <c r="I650" s="12">
        <f t="shared" si="134"/>
        <v>2</v>
      </c>
      <c r="J650" s="12" t="str">
        <f t="shared" si="135"/>
        <v>Đạt</v>
      </c>
      <c r="K650" s="10"/>
      <c r="L650" s="96">
        <f t="shared" si="130"/>
        <v>38.799999999999997</v>
      </c>
      <c r="M650" s="10">
        <v>25.37</v>
      </c>
      <c r="N650" s="10">
        <v>13.43</v>
      </c>
      <c r="O650" s="12">
        <v>73.599999999999994</v>
      </c>
      <c r="P650" s="97">
        <v>89.6</v>
      </c>
      <c r="Q650" s="12">
        <f t="shared" si="131"/>
        <v>2</v>
      </c>
      <c r="R650" s="12" t="str">
        <f t="shared" si="132"/>
        <v>Đạt</v>
      </c>
      <c r="S650" s="10"/>
      <c r="T650" s="95"/>
    </row>
    <row r="651" spans="1:21" s="84" customFormat="1" ht="12" hidden="1" customHeight="1" x14ac:dyDescent="0.25">
      <c r="A651" s="9" t="s">
        <v>156</v>
      </c>
      <c r="B651" s="1"/>
      <c r="C651" s="1" t="s">
        <v>1067</v>
      </c>
      <c r="D651" s="12">
        <f t="shared" si="133"/>
        <v>9.35</v>
      </c>
      <c r="E651" s="83">
        <v>2.92</v>
      </c>
      <c r="F651" s="83">
        <v>6.43</v>
      </c>
      <c r="G651" s="12">
        <v>58.8</v>
      </c>
      <c r="H651" s="12">
        <v>88.3</v>
      </c>
      <c r="I651" s="12">
        <f t="shared" si="134"/>
        <v>2</v>
      </c>
      <c r="J651" s="12" t="str">
        <f t="shared" si="135"/>
        <v>Đạt</v>
      </c>
      <c r="K651" s="10"/>
      <c r="L651" s="96">
        <f t="shared" si="130"/>
        <v>9.35</v>
      </c>
      <c r="M651" s="10">
        <v>2.92</v>
      </c>
      <c r="N651" s="10">
        <v>6.43</v>
      </c>
      <c r="O651" s="12">
        <v>58.8</v>
      </c>
      <c r="P651" s="97">
        <v>88.3</v>
      </c>
      <c r="Q651" s="12">
        <f t="shared" si="131"/>
        <v>2</v>
      </c>
      <c r="R651" s="12" t="str">
        <f t="shared" si="132"/>
        <v>Đạt</v>
      </c>
      <c r="S651" s="10"/>
      <c r="T651" s="95"/>
    </row>
    <row r="652" spans="1:21" s="84" customFormat="1" ht="12" hidden="1" customHeight="1" x14ac:dyDescent="0.25">
      <c r="A652" s="9" t="s">
        <v>157</v>
      </c>
      <c r="B652" s="1"/>
      <c r="C652" s="1" t="s">
        <v>1068</v>
      </c>
      <c r="D652" s="12">
        <f t="shared" si="133"/>
        <v>4.67</v>
      </c>
      <c r="E652" s="83">
        <v>1.87</v>
      </c>
      <c r="F652" s="83">
        <v>2.8</v>
      </c>
      <c r="G652" s="12">
        <v>81</v>
      </c>
      <c r="H652" s="12">
        <v>94.39</v>
      </c>
      <c r="I652" s="12">
        <f t="shared" si="134"/>
        <v>0</v>
      </c>
      <c r="J652" s="12" t="str">
        <f t="shared" si="135"/>
        <v>Không đạt</v>
      </c>
      <c r="K652" s="10"/>
      <c r="L652" s="96">
        <f t="shared" si="130"/>
        <v>4.67</v>
      </c>
      <c r="M652" s="10">
        <v>1.87</v>
      </c>
      <c r="N652" s="10">
        <v>2.8</v>
      </c>
      <c r="O652" s="12">
        <v>81</v>
      </c>
      <c r="P652" s="97">
        <v>94.4</v>
      </c>
      <c r="Q652" s="12">
        <f t="shared" si="131"/>
        <v>0</v>
      </c>
      <c r="R652" s="12" t="str">
        <f t="shared" si="132"/>
        <v>Không đạt</v>
      </c>
      <c r="S652" s="10"/>
      <c r="T652" s="95"/>
    </row>
    <row r="653" spans="1:21" s="84" customFormat="1" ht="12" hidden="1" customHeight="1" x14ac:dyDescent="0.25">
      <c r="A653" s="9" t="s">
        <v>158</v>
      </c>
      <c r="B653" s="1"/>
      <c r="C653" s="1" t="s">
        <v>1069</v>
      </c>
      <c r="D653" s="12">
        <f t="shared" si="133"/>
        <v>7.35</v>
      </c>
      <c r="E653" s="83">
        <v>2.94</v>
      </c>
      <c r="F653" s="83">
        <v>4.41</v>
      </c>
      <c r="G653" s="12">
        <v>73.3</v>
      </c>
      <c r="H653" s="12">
        <v>94.12</v>
      </c>
      <c r="I653" s="12">
        <f t="shared" si="134"/>
        <v>0</v>
      </c>
      <c r="J653" s="12" t="str">
        <f t="shared" si="135"/>
        <v>Không đạt</v>
      </c>
      <c r="K653" s="10"/>
      <c r="L653" s="96">
        <f t="shared" si="130"/>
        <v>7.35</v>
      </c>
      <c r="M653" s="10">
        <v>2.94</v>
      </c>
      <c r="N653" s="10">
        <v>4.41</v>
      </c>
      <c r="O653" s="12">
        <v>73.3</v>
      </c>
      <c r="P653" s="97">
        <v>94.1</v>
      </c>
      <c r="Q653" s="12">
        <f t="shared" si="131"/>
        <v>0</v>
      </c>
      <c r="R653" s="12" t="str">
        <f t="shared" si="132"/>
        <v>Không đạt</v>
      </c>
      <c r="S653" s="10"/>
      <c r="T653" s="95"/>
    </row>
    <row r="654" spans="1:21" s="84" customFormat="1" ht="12" hidden="1" customHeight="1" x14ac:dyDescent="0.25">
      <c r="A654" s="9" t="s">
        <v>159</v>
      </c>
      <c r="B654" s="1"/>
      <c r="C654" s="1" t="s">
        <v>1070</v>
      </c>
      <c r="D654" s="12">
        <f t="shared" si="133"/>
        <v>8.51</v>
      </c>
      <c r="E654" s="83">
        <v>2.66</v>
      </c>
      <c r="F654" s="83">
        <v>5.85</v>
      </c>
      <c r="G654" s="12">
        <v>76.7</v>
      </c>
      <c r="H654" s="12">
        <v>94.68</v>
      </c>
      <c r="I654" s="12">
        <f t="shared" si="134"/>
        <v>0</v>
      </c>
      <c r="J654" s="12" t="str">
        <f t="shared" si="135"/>
        <v>Không đạt</v>
      </c>
      <c r="K654" s="10"/>
      <c r="L654" s="96">
        <f t="shared" si="130"/>
        <v>8.51</v>
      </c>
      <c r="M654" s="10">
        <v>2.66</v>
      </c>
      <c r="N654" s="10">
        <v>5.85</v>
      </c>
      <c r="O654" s="12">
        <v>76.7</v>
      </c>
      <c r="P654" s="97">
        <v>94.7</v>
      </c>
      <c r="Q654" s="12">
        <f t="shared" si="131"/>
        <v>0</v>
      </c>
      <c r="R654" s="12" t="str">
        <f t="shared" si="132"/>
        <v>Không đạt</v>
      </c>
      <c r="S654" s="10"/>
      <c r="T654" s="95"/>
    </row>
    <row r="655" spans="1:21" s="84" customFormat="1" ht="12" hidden="1" customHeight="1" x14ac:dyDescent="0.25">
      <c r="A655" s="9" t="s">
        <v>160</v>
      </c>
      <c r="B655" s="1"/>
      <c r="C655" s="1" t="s">
        <v>317</v>
      </c>
      <c r="D655" s="12">
        <f t="shared" si="133"/>
        <v>1.18</v>
      </c>
      <c r="E655" s="83">
        <v>0.59</v>
      </c>
      <c r="F655" s="83">
        <v>0.59</v>
      </c>
      <c r="G655" s="12">
        <v>90</v>
      </c>
      <c r="H655" s="12">
        <v>95.29</v>
      </c>
      <c r="I655" s="12">
        <f t="shared" si="134"/>
        <v>0</v>
      </c>
      <c r="J655" s="12" t="str">
        <f t="shared" si="135"/>
        <v>Không đạt</v>
      </c>
      <c r="K655" s="10"/>
      <c r="L655" s="96">
        <f t="shared" si="130"/>
        <v>1.18</v>
      </c>
      <c r="M655" s="10">
        <v>0.59</v>
      </c>
      <c r="N655" s="10">
        <v>0.59</v>
      </c>
      <c r="O655" s="12">
        <v>90</v>
      </c>
      <c r="P655" s="97">
        <v>95.3</v>
      </c>
      <c r="Q655" s="12">
        <f t="shared" si="131"/>
        <v>0</v>
      </c>
      <c r="R655" s="12" t="str">
        <f t="shared" si="132"/>
        <v>Không đạt</v>
      </c>
      <c r="S655" s="10"/>
      <c r="T655" s="95"/>
    </row>
    <row r="656" spans="1:21" s="84" customFormat="1" ht="12" hidden="1" customHeight="1" x14ac:dyDescent="0.25">
      <c r="A656" s="9" t="s">
        <v>161</v>
      </c>
      <c r="B656" s="1"/>
      <c r="C656" s="1" t="s">
        <v>1071</v>
      </c>
      <c r="D656" s="12">
        <f t="shared" si="133"/>
        <v>3.09</v>
      </c>
      <c r="E656" s="83">
        <v>1.03</v>
      </c>
      <c r="F656" s="83">
        <v>2.06</v>
      </c>
      <c r="G656" s="12">
        <v>80</v>
      </c>
      <c r="H656" s="12">
        <v>91.75</v>
      </c>
      <c r="I656" s="12">
        <f t="shared" si="134"/>
        <v>0</v>
      </c>
      <c r="J656" s="12" t="str">
        <f t="shared" si="135"/>
        <v>Không đạt</v>
      </c>
      <c r="K656" s="10"/>
      <c r="L656" s="96">
        <f t="shared" si="130"/>
        <v>3.09</v>
      </c>
      <c r="M656" s="10">
        <v>1.03</v>
      </c>
      <c r="N656" s="10">
        <v>2.06</v>
      </c>
      <c r="O656" s="12">
        <v>80</v>
      </c>
      <c r="P656" s="97">
        <v>91.8</v>
      </c>
      <c r="Q656" s="12">
        <f t="shared" si="131"/>
        <v>0</v>
      </c>
      <c r="R656" s="12" t="str">
        <f t="shared" si="132"/>
        <v>Không đạt</v>
      </c>
      <c r="S656" s="10"/>
      <c r="T656" s="95"/>
    </row>
    <row r="657" spans="1:20" s="84" customFormat="1" ht="12" hidden="1" customHeight="1" x14ac:dyDescent="0.25">
      <c r="A657" s="9" t="s">
        <v>162</v>
      </c>
      <c r="B657" s="1"/>
      <c r="C657" s="1" t="s">
        <v>1072</v>
      </c>
      <c r="D657" s="12">
        <f t="shared" si="133"/>
        <v>25.55</v>
      </c>
      <c r="E657" s="83">
        <v>13.33</v>
      </c>
      <c r="F657" s="83">
        <v>12.22</v>
      </c>
      <c r="G657" s="12">
        <v>76</v>
      </c>
      <c r="H657" s="12">
        <v>88.89</v>
      </c>
      <c r="I657" s="12">
        <f t="shared" si="134"/>
        <v>2</v>
      </c>
      <c r="J657" s="12" t="str">
        <f t="shared" si="135"/>
        <v>Đạt</v>
      </c>
      <c r="K657" s="10"/>
      <c r="L657" s="96">
        <f t="shared" si="130"/>
        <v>25.55</v>
      </c>
      <c r="M657" s="10">
        <v>13.33</v>
      </c>
      <c r="N657" s="10">
        <v>12.22</v>
      </c>
      <c r="O657" s="12">
        <v>76</v>
      </c>
      <c r="P657" s="97">
        <v>88.9</v>
      </c>
      <c r="Q657" s="12">
        <f t="shared" si="131"/>
        <v>2</v>
      </c>
      <c r="R657" s="12" t="str">
        <f t="shared" si="132"/>
        <v>Đạt</v>
      </c>
      <c r="S657" s="10"/>
      <c r="T657" s="95"/>
    </row>
    <row r="658" spans="1:20" s="84" customFormat="1" ht="12" hidden="1" customHeight="1" x14ac:dyDescent="0.25">
      <c r="A658" s="9" t="s">
        <v>163</v>
      </c>
      <c r="B658" s="1"/>
      <c r="C658" s="1" t="s">
        <v>1073</v>
      </c>
      <c r="D658" s="12">
        <f t="shared" si="133"/>
        <v>6.57</v>
      </c>
      <c r="E658" s="83">
        <v>3.03</v>
      </c>
      <c r="F658" s="83">
        <v>3.54</v>
      </c>
      <c r="G658" s="12">
        <v>95</v>
      </c>
      <c r="H658" s="12">
        <v>92.93</v>
      </c>
      <c r="I658" s="12">
        <f t="shared" si="134"/>
        <v>0</v>
      </c>
      <c r="J658" s="12" t="str">
        <f t="shared" si="135"/>
        <v>Không đạt</v>
      </c>
      <c r="K658" s="10"/>
      <c r="L658" s="96">
        <f t="shared" si="130"/>
        <v>6.57</v>
      </c>
      <c r="M658" s="10">
        <v>3.03</v>
      </c>
      <c r="N658" s="10">
        <v>3.54</v>
      </c>
      <c r="O658" s="12">
        <v>95</v>
      </c>
      <c r="P658" s="97">
        <v>92.9</v>
      </c>
      <c r="Q658" s="12">
        <f t="shared" si="131"/>
        <v>0</v>
      </c>
      <c r="R658" s="12" t="str">
        <f t="shared" si="132"/>
        <v>Không đạt</v>
      </c>
      <c r="S658" s="10"/>
      <c r="T658" s="95"/>
    </row>
    <row r="659" spans="1:20" s="84" customFormat="1" ht="12" hidden="1" customHeight="1" x14ac:dyDescent="0.25">
      <c r="A659" s="9" t="s">
        <v>164</v>
      </c>
      <c r="B659" s="1"/>
      <c r="C659" s="1" t="s">
        <v>1074</v>
      </c>
      <c r="D659" s="12">
        <f t="shared" si="133"/>
        <v>12.33</v>
      </c>
      <c r="E659" s="83">
        <v>6.85</v>
      </c>
      <c r="F659" s="83">
        <v>5.48</v>
      </c>
      <c r="G659" s="12">
        <v>58.89</v>
      </c>
      <c r="H659" s="12">
        <v>88.36</v>
      </c>
      <c r="I659" s="12">
        <f t="shared" si="134"/>
        <v>2</v>
      </c>
      <c r="J659" s="12" t="str">
        <f t="shared" si="135"/>
        <v>Đạt</v>
      </c>
      <c r="K659" s="10"/>
      <c r="L659" s="96">
        <f t="shared" si="130"/>
        <v>12.33</v>
      </c>
      <c r="M659" s="10">
        <v>6.85</v>
      </c>
      <c r="N659" s="10">
        <v>5.48</v>
      </c>
      <c r="O659" s="12">
        <v>58.89</v>
      </c>
      <c r="P659" s="97">
        <v>88.4</v>
      </c>
      <c r="Q659" s="12">
        <f t="shared" si="131"/>
        <v>2</v>
      </c>
      <c r="R659" s="12" t="str">
        <f t="shared" si="132"/>
        <v>Đạt</v>
      </c>
      <c r="S659" s="10"/>
      <c r="T659" s="95"/>
    </row>
    <row r="660" spans="1:20" s="84" customFormat="1" ht="12" hidden="1" customHeight="1" x14ac:dyDescent="0.25">
      <c r="A660" s="9" t="s">
        <v>165</v>
      </c>
      <c r="B660" s="1"/>
      <c r="C660" s="1" t="s">
        <v>1075</v>
      </c>
      <c r="D660" s="12">
        <f t="shared" si="133"/>
        <v>13.26</v>
      </c>
      <c r="E660" s="83">
        <v>4.0199999999999996</v>
      </c>
      <c r="F660" s="83">
        <v>9.24</v>
      </c>
      <c r="G660" s="12">
        <v>80</v>
      </c>
      <c r="H660" s="12">
        <v>93.28</v>
      </c>
      <c r="I660" s="12">
        <f t="shared" si="134"/>
        <v>0</v>
      </c>
      <c r="J660" s="12" t="str">
        <f t="shared" si="135"/>
        <v>Không đạt</v>
      </c>
      <c r="K660" s="10"/>
      <c r="L660" s="96">
        <f t="shared" si="130"/>
        <v>13.440000000000001</v>
      </c>
      <c r="M660" s="10">
        <v>4.2</v>
      </c>
      <c r="N660" s="10">
        <v>9.24</v>
      </c>
      <c r="O660" s="12">
        <v>80</v>
      </c>
      <c r="P660" s="97">
        <v>93.3</v>
      </c>
      <c r="Q660" s="12">
        <f t="shared" si="131"/>
        <v>0</v>
      </c>
      <c r="R660" s="12" t="str">
        <f t="shared" si="132"/>
        <v>Không đạt</v>
      </c>
      <c r="S660" s="10"/>
      <c r="T660" s="95"/>
    </row>
    <row r="661" spans="1:20" s="84" customFormat="1" ht="12" hidden="1" customHeight="1" x14ac:dyDescent="0.25">
      <c r="A661" s="9" t="s">
        <v>166</v>
      </c>
      <c r="B661" s="1"/>
      <c r="C661" s="1" t="s">
        <v>1076</v>
      </c>
      <c r="D661" s="12">
        <f t="shared" si="133"/>
        <v>9.1999999999999993</v>
      </c>
      <c r="E661" s="83">
        <v>3.68</v>
      </c>
      <c r="F661" s="83">
        <v>5.52</v>
      </c>
      <c r="G661" s="12">
        <v>70.5</v>
      </c>
      <c r="H661" s="12">
        <v>95.09</v>
      </c>
      <c r="I661" s="12">
        <f t="shared" si="134"/>
        <v>0</v>
      </c>
      <c r="J661" s="12" t="str">
        <f t="shared" si="135"/>
        <v>Không đạt</v>
      </c>
      <c r="K661" s="10"/>
      <c r="L661" s="96">
        <f t="shared" si="130"/>
        <v>9.1999999999999993</v>
      </c>
      <c r="M661" s="10">
        <v>3.68</v>
      </c>
      <c r="N661" s="10">
        <v>5.52</v>
      </c>
      <c r="O661" s="12">
        <v>70.5</v>
      </c>
      <c r="P661" s="97">
        <v>95.1</v>
      </c>
      <c r="Q661" s="12">
        <f t="shared" si="131"/>
        <v>0</v>
      </c>
      <c r="R661" s="12" t="str">
        <f t="shared" si="132"/>
        <v>Không đạt</v>
      </c>
      <c r="S661" s="10"/>
      <c r="T661" s="95"/>
    </row>
    <row r="662" spans="1:20" s="84" customFormat="1" ht="12" hidden="1" customHeight="1" x14ac:dyDescent="0.25">
      <c r="A662" s="9" t="s">
        <v>167</v>
      </c>
      <c r="B662" s="1"/>
      <c r="C662" s="1" t="s">
        <v>1077</v>
      </c>
      <c r="D662" s="12">
        <f t="shared" si="133"/>
        <v>10.16</v>
      </c>
      <c r="E662" s="83">
        <v>3.13</v>
      </c>
      <c r="F662" s="83">
        <v>7.03</v>
      </c>
      <c r="G662" s="12">
        <v>55.5</v>
      </c>
      <c r="H662" s="12">
        <v>89.06</v>
      </c>
      <c r="I662" s="12">
        <f t="shared" si="134"/>
        <v>2</v>
      </c>
      <c r="J662" s="12" t="str">
        <f t="shared" si="135"/>
        <v>Đạt</v>
      </c>
      <c r="K662" s="10"/>
      <c r="L662" s="96">
        <f t="shared" si="130"/>
        <v>10.16</v>
      </c>
      <c r="M662" s="10">
        <v>3.13</v>
      </c>
      <c r="N662" s="10">
        <v>7.03</v>
      </c>
      <c r="O662" s="12">
        <v>55.5</v>
      </c>
      <c r="P662" s="97">
        <v>89.1</v>
      </c>
      <c r="Q662" s="12">
        <f t="shared" si="131"/>
        <v>2</v>
      </c>
      <c r="R662" s="12" t="str">
        <f t="shared" si="132"/>
        <v>Đạt</v>
      </c>
      <c r="S662" s="10"/>
      <c r="T662" s="95"/>
    </row>
    <row r="663" spans="1:20" s="84" customFormat="1" ht="12" hidden="1" customHeight="1" x14ac:dyDescent="0.25">
      <c r="A663" s="9" t="s">
        <v>168</v>
      </c>
      <c r="B663" s="1"/>
      <c r="C663" s="1" t="s">
        <v>1078</v>
      </c>
      <c r="D663" s="12">
        <f t="shared" si="133"/>
        <v>18.59</v>
      </c>
      <c r="E663" s="83">
        <v>10.9</v>
      </c>
      <c r="F663" s="83">
        <v>7.69</v>
      </c>
      <c r="G663" s="12">
        <v>35.4</v>
      </c>
      <c r="H663" s="12">
        <v>89.74</v>
      </c>
      <c r="I663" s="12">
        <f t="shared" si="134"/>
        <v>3</v>
      </c>
      <c r="J663" s="12" t="str">
        <f t="shared" si="135"/>
        <v>Đạt</v>
      </c>
      <c r="K663" s="10"/>
      <c r="L663" s="96">
        <f t="shared" si="130"/>
        <v>18.59</v>
      </c>
      <c r="M663" s="10">
        <v>10.9</v>
      </c>
      <c r="N663" s="10">
        <v>7.69</v>
      </c>
      <c r="O663" s="12">
        <v>35.4</v>
      </c>
      <c r="P663" s="97">
        <v>89.7</v>
      </c>
      <c r="Q663" s="12">
        <f t="shared" si="131"/>
        <v>3</v>
      </c>
      <c r="R663" s="12" t="str">
        <f t="shared" si="132"/>
        <v>Đạt</v>
      </c>
      <c r="S663" s="10"/>
      <c r="T663" s="95"/>
    </row>
    <row r="664" spans="1:20" s="84" customFormat="1" ht="12" hidden="1" customHeight="1" x14ac:dyDescent="0.25">
      <c r="A664" s="9" t="s">
        <v>169</v>
      </c>
      <c r="B664" s="1"/>
      <c r="C664" s="1" t="s">
        <v>1079</v>
      </c>
      <c r="D664" s="12">
        <f t="shared" si="133"/>
        <v>17.89</v>
      </c>
      <c r="E664" s="83">
        <v>9.76</v>
      </c>
      <c r="F664" s="83">
        <v>8.1300000000000008</v>
      </c>
      <c r="G664" s="12">
        <v>59.8</v>
      </c>
      <c r="H664" s="12">
        <v>87.8</v>
      </c>
      <c r="I664" s="12">
        <f t="shared" si="134"/>
        <v>3</v>
      </c>
      <c r="J664" s="12" t="str">
        <f t="shared" si="135"/>
        <v>Đạt</v>
      </c>
      <c r="K664" s="10"/>
      <c r="L664" s="96">
        <f t="shared" si="130"/>
        <v>17.89</v>
      </c>
      <c r="M664" s="10">
        <v>9.76</v>
      </c>
      <c r="N664" s="10">
        <v>8.1300000000000008</v>
      </c>
      <c r="O664" s="12">
        <v>59.8</v>
      </c>
      <c r="P664" s="97">
        <v>87.8</v>
      </c>
      <c r="Q664" s="12">
        <f t="shared" si="131"/>
        <v>3</v>
      </c>
      <c r="R664" s="12" t="str">
        <f t="shared" si="132"/>
        <v>Đạt</v>
      </c>
      <c r="S664" s="10"/>
      <c r="T664" s="95"/>
    </row>
    <row r="665" spans="1:20" s="84" customFormat="1" ht="12" hidden="1" customHeight="1" x14ac:dyDescent="0.25">
      <c r="A665" s="9" t="s">
        <v>170</v>
      </c>
      <c r="B665" s="1"/>
      <c r="C665" s="1" t="s">
        <v>1080</v>
      </c>
      <c r="D665" s="12">
        <f t="shared" si="133"/>
        <v>12.71</v>
      </c>
      <c r="E665" s="83">
        <v>6.78</v>
      </c>
      <c r="F665" s="83">
        <v>5.93</v>
      </c>
      <c r="G665" s="12">
        <v>46.5</v>
      </c>
      <c r="H665" s="12">
        <v>88.98</v>
      </c>
      <c r="I665" s="12">
        <f t="shared" si="134"/>
        <v>2</v>
      </c>
      <c r="J665" s="12" t="str">
        <f t="shared" si="135"/>
        <v>Đạt</v>
      </c>
      <c r="K665" s="10"/>
      <c r="L665" s="96">
        <f t="shared" si="130"/>
        <v>12.71</v>
      </c>
      <c r="M665" s="10">
        <v>6.78</v>
      </c>
      <c r="N665" s="10">
        <v>5.93</v>
      </c>
      <c r="O665" s="12">
        <v>46.5</v>
      </c>
      <c r="P665" s="97">
        <v>89</v>
      </c>
      <c r="Q665" s="12">
        <f t="shared" si="131"/>
        <v>2</v>
      </c>
      <c r="R665" s="12" t="str">
        <f t="shared" si="132"/>
        <v>Đạt</v>
      </c>
      <c r="S665" s="10"/>
      <c r="T665" s="95"/>
    </row>
    <row r="666" spans="1:20" s="84" customFormat="1" ht="12" hidden="1" customHeight="1" x14ac:dyDescent="0.25">
      <c r="A666" s="9" t="s">
        <v>171</v>
      </c>
      <c r="B666" s="1"/>
      <c r="C666" s="1" t="s">
        <v>1081</v>
      </c>
      <c r="D666" s="12">
        <f t="shared" si="133"/>
        <v>8.9699999999999989</v>
      </c>
      <c r="E666" s="83">
        <v>4.83</v>
      </c>
      <c r="F666" s="83">
        <v>4.1399999999999997</v>
      </c>
      <c r="G666" s="12">
        <v>57.6</v>
      </c>
      <c r="H666" s="12">
        <v>89.66</v>
      </c>
      <c r="I666" s="12">
        <f t="shared" si="134"/>
        <v>2</v>
      </c>
      <c r="J666" s="12" t="str">
        <f t="shared" si="135"/>
        <v>Đạt</v>
      </c>
      <c r="K666" s="10"/>
      <c r="L666" s="96">
        <f t="shared" si="130"/>
        <v>8.9699999999999989</v>
      </c>
      <c r="M666" s="10">
        <v>4.83</v>
      </c>
      <c r="N666" s="10">
        <v>4.1399999999999997</v>
      </c>
      <c r="O666" s="12">
        <v>57.6</v>
      </c>
      <c r="P666" s="97">
        <v>89.7</v>
      </c>
      <c r="Q666" s="12">
        <f t="shared" si="131"/>
        <v>2</v>
      </c>
      <c r="R666" s="12" t="str">
        <f t="shared" si="132"/>
        <v>Đạt</v>
      </c>
      <c r="S666" s="10"/>
      <c r="T666" s="95"/>
    </row>
    <row r="667" spans="1:20" s="84" customFormat="1" ht="12" hidden="1" customHeight="1" x14ac:dyDescent="0.25">
      <c r="A667" s="9" t="s">
        <v>172</v>
      </c>
      <c r="B667" s="1"/>
      <c r="C667" s="1" t="s">
        <v>1082</v>
      </c>
      <c r="D667" s="12">
        <f t="shared" si="133"/>
        <v>7.34</v>
      </c>
      <c r="E667" s="83">
        <v>4.59</v>
      </c>
      <c r="F667" s="83">
        <v>2.75</v>
      </c>
      <c r="G667" s="12">
        <v>75</v>
      </c>
      <c r="H667" s="12">
        <v>93.58</v>
      </c>
      <c r="I667" s="12">
        <f t="shared" si="134"/>
        <v>0</v>
      </c>
      <c r="J667" s="12" t="str">
        <f t="shared" si="135"/>
        <v>Không đạt</v>
      </c>
      <c r="K667" s="10"/>
      <c r="L667" s="96">
        <f t="shared" si="130"/>
        <v>7.34</v>
      </c>
      <c r="M667" s="10">
        <v>4.59</v>
      </c>
      <c r="N667" s="10">
        <v>2.75</v>
      </c>
      <c r="O667" s="12">
        <v>75</v>
      </c>
      <c r="P667" s="97">
        <v>93.6</v>
      </c>
      <c r="Q667" s="12">
        <f t="shared" si="131"/>
        <v>0</v>
      </c>
      <c r="R667" s="12" t="str">
        <f t="shared" si="132"/>
        <v>Không đạt</v>
      </c>
      <c r="S667" s="10"/>
      <c r="T667" s="95"/>
    </row>
    <row r="668" spans="1:20" s="84" customFormat="1" ht="12" hidden="1" customHeight="1" x14ac:dyDescent="0.25">
      <c r="A668" s="9" t="s">
        <v>173</v>
      </c>
      <c r="B668" s="1"/>
      <c r="C668" s="1" t="s">
        <v>1083</v>
      </c>
      <c r="D668" s="12">
        <f t="shared" si="133"/>
        <v>5.74</v>
      </c>
      <c r="E668" s="83">
        <v>3.28</v>
      </c>
      <c r="F668" s="83">
        <v>2.46</v>
      </c>
      <c r="G668" s="12">
        <v>80</v>
      </c>
      <c r="H668" s="12">
        <v>92.62</v>
      </c>
      <c r="I668" s="12">
        <f t="shared" si="134"/>
        <v>0</v>
      </c>
      <c r="J668" s="12" t="str">
        <f t="shared" si="135"/>
        <v>Không đạt</v>
      </c>
      <c r="K668" s="10"/>
      <c r="L668" s="96">
        <f t="shared" si="130"/>
        <v>5.74</v>
      </c>
      <c r="M668" s="10">
        <v>3.28</v>
      </c>
      <c r="N668" s="10">
        <v>2.46</v>
      </c>
      <c r="O668" s="12">
        <v>80</v>
      </c>
      <c r="P668" s="97">
        <v>92.6</v>
      </c>
      <c r="Q668" s="12">
        <f t="shared" si="131"/>
        <v>0</v>
      </c>
      <c r="R668" s="12" t="str">
        <f t="shared" si="132"/>
        <v>Không đạt</v>
      </c>
      <c r="S668" s="10"/>
      <c r="T668" s="95"/>
    </row>
    <row r="669" spans="1:20" s="84" customFormat="1" ht="12" hidden="1" customHeight="1" x14ac:dyDescent="0.25">
      <c r="A669" s="9" t="s">
        <v>174</v>
      </c>
      <c r="B669" s="1"/>
      <c r="C669" s="1" t="s">
        <v>1084</v>
      </c>
      <c r="D669" s="12">
        <f t="shared" si="133"/>
        <v>12.379999999999999</v>
      </c>
      <c r="E669" s="83">
        <v>6.67</v>
      </c>
      <c r="F669" s="83">
        <v>5.71</v>
      </c>
      <c r="G669" s="12">
        <v>80</v>
      </c>
      <c r="H669" s="12">
        <v>92.38</v>
      </c>
      <c r="I669" s="12">
        <f t="shared" si="134"/>
        <v>0</v>
      </c>
      <c r="J669" s="12" t="str">
        <f t="shared" si="135"/>
        <v>Không đạt</v>
      </c>
      <c r="K669" s="10"/>
      <c r="L669" s="96">
        <f t="shared" si="130"/>
        <v>12.379999999999999</v>
      </c>
      <c r="M669" s="10">
        <v>6.67</v>
      </c>
      <c r="N669" s="10">
        <v>5.71</v>
      </c>
      <c r="O669" s="12">
        <v>80</v>
      </c>
      <c r="P669" s="97">
        <v>92.4</v>
      </c>
      <c r="Q669" s="12">
        <f t="shared" si="131"/>
        <v>0</v>
      </c>
      <c r="R669" s="12" t="str">
        <f t="shared" si="132"/>
        <v>Không đạt</v>
      </c>
      <c r="S669" s="10"/>
      <c r="T669" s="95"/>
    </row>
    <row r="670" spans="1:20" s="84" customFormat="1" ht="12" hidden="1" customHeight="1" x14ac:dyDescent="0.25">
      <c r="A670" s="9" t="s">
        <v>175</v>
      </c>
      <c r="B670" s="1"/>
      <c r="C670" s="1" t="s">
        <v>1085</v>
      </c>
      <c r="D670" s="12">
        <f t="shared" si="133"/>
        <v>55.44</v>
      </c>
      <c r="E670" s="83">
        <v>50.4</v>
      </c>
      <c r="F670" s="83">
        <v>5.04</v>
      </c>
      <c r="G670" s="12">
        <v>55.2</v>
      </c>
      <c r="H670" s="12">
        <v>89.08</v>
      </c>
      <c r="I670" s="12">
        <f t="shared" si="134"/>
        <v>3</v>
      </c>
      <c r="J670" s="12" t="str">
        <f t="shared" si="135"/>
        <v>Đạt</v>
      </c>
      <c r="K670" s="10"/>
      <c r="L670" s="96">
        <f t="shared" si="130"/>
        <v>10.08</v>
      </c>
      <c r="M670" s="10">
        <v>5.04</v>
      </c>
      <c r="N670" s="10">
        <v>5.04</v>
      </c>
      <c r="O670" s="12">
        <v>55.2</v>
      </c>
      <c r="P670" s="97">
        <v>89.1</v>
      </c>
      <c r="Q670" s="12">
        <f t="shared" si="131"/>
        <v>2</v>
      </c>
      <c r="R670" s="12" t="str">
        <f t="shared" si="132"/>
        <v>Đạt</v>
      </c>
      <c r="S670" s="10"/>
      <c r="T670" s="95"/>
    </row>
    <row r="671" spans="1:20" s="84" customFormat="1" ht="12" hidden="1" customHeight="1" x14ac:dyDescent="0.25">
      <c r="A671" s="9" t="s">
        <v>176</v>
      </c>
      <c r="B671" s="1"/>
      <c r="C671" s="1" t="s">
        <v>266</v>
      </c>
      <c r="D671" s="12">
        <f t="shared" si="133"/>
        <v>1.57</v>
      </c>
      <c r="E671" s="83">
        <v>0</v>
      </c>
      <c r="F671" s="83">
        <v>1.57</v>
      </c>
      <c r="G671" s="12">
        <v>100</v>
      </c>
      <c r="H671" s="12">
        <v>98.43</v>
      </c>
      <c r="I671" s="12">
        <f t="shared" si="134"/>
        <v>0</v>
      </c>
      <c r="J671" s="12" t="str">
        <f t="shared" si="135"/>
        <v>Không đạt</v>
      </c>
      <c r="K671" s="10"/>
      <c r="L671" s="96">
        <f t="shared" si="130"/>
        <v>1.57</v>
      </c>
      <c r="M671" s="10">
        <v>0</v>
      </c>
      <c r="N671" s="10">
        <v>1.57</v>
      </c>
      <c r="O671" s="12">
        <v>100</v>
      </c>
      <c r="P671" s="97">
        <v>98.4</v>
      </c>
      <c r="Q671" s="12">
        <f t="shared" si="131"/>
        <v>0</v>
      </c>
      <c r="R671" s="12" t="str">
        <f t="shared" si="132"/>
        <v>Không đạt</v>
      </c>
      <c r="S671" s="10"/>
      <c r="T671" s="95"/>
    </row>
    <row r="672" spans="1:20" s="84" customFormat="1" ht="12" hidden="1" customHeight="1" x14ac:dyDescent="0.25">
      <c r="A672" s="9" t="s">
        <v>177</v>
      </c>
      <c r="B672" s="1"/>
      <c r="C672" s="1" t="s">
        <v>267</v>
      </c>
      <c r="D672" s="12">
        <f t="shared" si="133"/>
        <v>0.54</v>
      </c>
      <c r="E672" s="83">
        <v>0.54</v>
      </c>
      <c r="F672" s="83">
        <v>0</v>
      </c>
      <c r="G672" s="12">
        <v>100</v>
      </c>
      <c r="H672" s="12">
        <v>100</v>
      </c>
      <c r="I672" s="12">
        <f t="shared" si="134"/>
        <v>0</v>
      </c>
      <c r="J672" s="12" t="str">
        <f t="shared" si="135"/>
        <v>Không đạt</v>
      </c>
      <c r="K672" s="10"/>
      <c r="L672" s="96">
        <f t="shared" si="130"/>
        <v>0.54</v>
      </c>
      <c r="M672" s="10">
        <v>0.54</v>
      </c>
      <c r="N672" s="10">
        <v>0</v>
      </c>
      <c r="O672" s="12">
        <v>100</v>
      </c>
      <c r="P672" s="97">
        <v>100</v>
      </c>
      <c r="Q672" s="12">
        <f t="shared" si="131"/>
        <v>0</v>
      </c>
      <c r="R672" s="12" t="str">
        <f t="shared" si="132"/>
        <v>Không đạt</v>
      </c>
      <c r="S672" s="10"/>
      <c r="T672" s="95"/>
    </row>
    <row r="673" spans="1:21" s="84" customFormat="1" ht="12" hidden="1" customHeight="1" x14ac:dyDescent="0.25">
      <c r="A673" s="9" t="s">
        <v>178</v>
      </c>
      <c r="B673" s="1"/>
      <c r="C673" s="1" t="s">
        <v>270</v>
      </c>
      <c r="D673" s="12">
        <f t="shared" si="133"/>
        <v>6.59</v>
      </c>
      <c r="E673" s="83">
        <v>4.1900000000000004</v>
      </c>
      <c r="F673" s="83">
        <v>2.4</v>
      </c>
      <c r="G673" s="12">
        <v>75</v>
      </c>
      <c r="H673" s="12">
        <v>98.8</v>
      </c>
      <c r="I673" s="12">
        <f t="shared" si="134"/>
        <v>0</v>
      </c>
      <c r="J673" s="12" t="str">
        <f t="shared" si="135"/>
        <v>Không đạt</v>
      </c>
      <c r="K673" s="10"/>
      <c r="L673" s="96">
        <f t="shared" si="130"/>
        <v>6.59</v>
      </c>
      <c r="M673" s="10">
        <v>4.1900000000000004</v>
      </c>
      <c r="N673" s="10">
        <v>2.4</v>
      </c>
      <c r="O673" s="12">
        <v>75</v>
      </c>
      <c r="P673" s="97">
        <v>98.8</v>
      </c>
      <c r="Q673" s="12">
        <f t="shared" si="131"/>
        <v>0</v>
      </c>
      <c r="R673" s="12" t="str">
        <f t="shared" si="132"/>
        <v>Không đạt</v>
      </c>
      <c r="S673" s="10"/>
      <c r="T673" s="95"/>
    </row>
    <row r="674" spans="1:21" s="84" customFormat="1" ht="12" hidden="1" customHeight="1" x14ac:dyDescent="0.25">
      <c r="A674" s="9" t="s">
        <v>179</v>
      </c>
      <c r="B674" s="1"/>
      <c r="C674" s="1" t="s">
        <v>323</v>
      </c>
      <c r="D674" s="12">
        <f t="shared" si="133"/>
        <v>4.7699999999999996</v>
      </c>
      <c r="E674" s="83">
        <v>2.98</v>
      </c>
      <c r="F674" s="83">
        <v>1.79</v>
      </c>
      <c r="G674" s="12">
        <v>100</v>
      </c>
      <c r="H674" s="12">
        <v>100</v>
      </c>
      <c r="I674" s="12">
        <f t="shared" si="134"/>
        <v>0</v>
      </c>
      <c r="J674" s="12" t="str">
        <f t="shared" si="135"/>
        <v>Không đạt</v>
      </c>
      <c r="K674" s="10"/>
      <c r="L674" s="96">
        <f t="shared" si="130"/>
        <v>4.7699999999999996</v>
      </c>
      <c r="M674" s="10">
        <v>2.98</v>
      </c>
      <c r="N674" s="10">
        <v>1.79</v>
      </c>
      <c r="O674" s="12">
        <v>100</v>
      </c>
      <c r="P674" s="97">
        <v>100</v>
      </c>
      <c r="Q674" s="12">
        <f t="shared" si="131"/>
        <v>0</v>
      </c>
      <c r="R674" s="12" t="str">
        <f t="shared" si="132"/>
        <v>Không đạt</v>
      </c>
      <c r="S674" s="10"/>
      <c r="T674" s="95"/>
    </row>
    <row r="675" spans="1:21" s="84" customFormat="1" ht="12" hidden="1" customHeight="1" x14ac:dyDescent="0.25">
      <c r="A675" s="9" t="s">
        <v>180</v>
      </c>
      <c r="B675" s="1"/>
      <c r="C675" s="1" t="s">
        <v>324</v>
      </c>
      <c r="D675" s="12">
        <f t="shared" si="133"/>
        <v>0</v>
      </c>
      <c r="E675" s="83">
        <v>0</v>
      </c>
      <c r="F675" s="83">
        <v>0</v>
      </c>
      <c r="G675" s="12">
        <v>100</v>
      </c>
      <c r="H675" s="12">
        <v>100</v>
      </c>
      <c r="I675" s="12">
        <f t="shared" si="134"/>
        <v>0</v>
      </c>
      <c r="J675" s="12" t="str">
        <f t="shared" si="135"/>
        <v>Không đạt</v>
      </c>
      <c r="K675" s="10"/>
      <c r="L675" s="96">
        <f t="shared" si="130"/>
        <v>0</v>
      </c>
      <c r="M675" s="10">
        <v>0</v>
      </c>
      <c r="N675" s="10">
        <v>0</v>
      </c>
      <c r="O675" s="12">
        <v>100</v>
      </c>
      <c r="P675" s="97">
        <v>100</v>
      </c>
      <c r="Q675" s="12">
        <f t="shared" si="131"/>
        <v>0</v>
      </c>
      <c r="R675" s="12" t="str">
        <f t="shared" si="132"/>
        <v>Không đạt</v>
      </c>
      <c r="S675" s="10"/>
      <c r="T675" s="95"/>
    </row>
    <row r="676" spans="1:21" s="84" customFormat="1" ht="12" hidden="1" customHeight="1" x14ac:dyDescent="0.25">
      <c r="A676" s="9" t="s">
        <v>181</v>
      </c>
      <c r="B676" s="1"/>
      <c r="C676" s="1" t="s">
        <v>325</v>
      </c>
      <c r="D676" s="12">
        <f t="shared" si="133"/>
        <v>0</v>
      </c>
      <c r="E676" s="83">
        <v>0</v>
      </c>
      <c r="F676" s="83">
        <v>0</v>
      </c>
      <c r="G676" s="12">
        <v>100</v>
      </c>
      <c r="H676" s="12">
        <v>100</v>
      </c>
      <c r="I676" s="12">
        <f t="shared" si="134"/>
        <v>0</v>
      </c>
      <c r="J676" s="12" t="str">
        <f t="shared" si="135"/>
        <v>Không đạt</v>
      </c>
      <c r="K676" s="10"/>
      <c r="L676" s="96">
        <f t="shared" si="130"/>
        <v>0</v>
      </c>
      <c r="M676" s="10">
        <v>0</v>
      </c>
      <c r="N676" s="10">
        <v>0</v>
      </c>
      <c r="O676" s="12">
        <v>100</v>
      </c>
      <c r="P676" s="97">
        <v>100</v>
      </c>
      <c r="Q676" s="12">
        <f t="shared" si="131"/>
        <v>0</v>
      </c>
      <c r="R676" s="12" t="str">
        <f t="shared" si="132"/>
        <v>Không đạt</v>
      </c>
      <c r="S676" s="10"/>
      <c r="T676" s="95"/>
    </row>
    <row r="677" spans="1:21" s="84" customFormat="1" ht="12" hidden="1" customHeight="1" x14ac:dyDescent="0.25">
      <c r="A677" s="9" t="s">
        <v>182</v>
      </c>
      <c r="B677" s="1"/>
      <c r="C677" s="1" t="s">
        <v>326</v>
      </c>
      <c r="D677" s="12">
        <f t="shared" si="133"/>
        <v>1.42</v>
      </c>
      <c r="E677" s="83">
        <v>1.42</v>
      </c>
      <c r="F677" s="83">
        <v>0</v>
      </c>
      <c r="G677" s="12">
        <v>100</v>
      </c>
      <c r="H677" s="12">
        <v>97.16</v>
      </c>
      <c r="I677" s="12">
        <f t="shared" si="134"/>
        <v>0</v>
      </c>
      <c r="J677" s="12" t="str">
        <f t="shared" si="135"/>
        <v>Không đạt</v>
      </c>
      <c r="K677" s="10"/>
      <c r="L677" s="96">
        <f t="shared" si="130"/>
        <v>2.84</v>
      </c>
      <c r="M677" s="10">
        <v>1.42</v>
      </c>
      <c r="N677" s="10">
        <v>1.42</v>
      </c>
      <c r="O677" s="12">
        <v>100</v>
      </c>
      <c r="P677" s="97">
        <v>97.2</v>
      </c>
      <c r="Q677" s="12">
        <f t="shared" si="131"/>
        <v>0</v>
      </c>
      <c r="R677" s="12" t="str">
        <f t="shared" si="132"/>
        <v>Không đạt</v>
      </c>
      <c r="S677" s="10"/>
      <c r="T677" s="95"/>
    </row>
    <row r="678" spans="1:21" s="84" customFormat="1" ht="12" hidden="1" customHeight="1" x14ac:dyDescent="0.25">
      <c r="A678" s="9" t="s">
        <v>183</v>
      </c>
      <c r="B678" s="1"/>
      <c r="C678" s="1" t="s">
        <v>328</v>
      </c>
      <c r="D678" s="12">
        <f t="shared" si="133"/>
        <v>0</v>
      </c>
      <c r="E678" s="83">
        <v>0</v>
      </c>
      <c r="F678" s="83">
        <v>0</v>
      </c>
      <c r="G678" s="12">
        <v>100</v>
      </c>
      <c r="H678" s="12">
        <v>97.35</v>
      </c>
      <c r="I678" s="12">
        <f t="shared" si="134"/>
        <v>0</v>
      </c>
      <c r="J678" s="12" t="str">
        <f t="shared" si="135"/>
        <v>Không đạt</v>
      </c>
      <c r="K678" s="10"/>
      <c r="L678" s="96">
        <f t="shared" si="130"/>
        <v>0</v>
      </c>
      <c r="M678" s="10">
        <v>0</v>
      </c>
      <c r="N678" s="10">
        <v>0</v>
      </c>
      <c r="O678" s="12">
        <v>100</v>
      </c>
      <c r="P678" s="97">
        <v>97.3</v>
      </c>
      <c r="Q678" s="12">
        <f t="shared" si="131"/>
        <v>0</v>
      </c>
      <c r="R678" s="12" t="str">
        <f t="shared" si="132"/>
        <v>Không đạt</v>
      </c>
      <c r="S678" s="10"/>
      <c r="T678" s="95"/>
    </row>
    <row r="679" spans="1:21" s="84" customFormat="1" ht="12" hidden="1" customHeight="1" x14ac:dyDescent="0.25">
      <c r="A679" s="9" t="s">
        <v>184</v>
      </c>
      <c r="B679" s="1"/>
      <c r="C679" s="1" t="s">
        <v>330</v>
      </c>
      <c r="D679" s="12">
        <f t="shared" si="133"/>
        <v>1.83</v>
      </c>
      <c r="E679" s="83">
        <v>1.83</v>
      </c>
      <c r="F679" s="83">
        <v>0</v>
      </c>
      <c r="G679" s="12">
        <v>100</v>
      </c>
      <c r="H679" s="12">
        <v>96.33</v>
      </c>
      <c r="I679" s="12">
        <f t="shared" si="134"/>
        <v>0</v>
      </c>
      <c r="J679" s="12" t="str">
        <f t="shared" si="135"/>
        <v>Không đạt</v>
      </c>
      <c r="K679" s="10"/>
      <c r="L679" s="96">
        <f t="shared" si="130"/>
        <v>1.83</v>
      </c>
      <c r="M679" s="10">
        <v>1.83</v>
      </c>
      <c r="N679" s="10">
        <v>0</v>
      </c>
      <c r="O679" s="12">
        <v>100</v>
      </c>
      <c r="P679" s="97">
        <v>96.3</v>
      </c>
      <c r="Q679" s="12">
        <f t="shared" si="131"/>
        <v>0</v>
      </c>
      <c r="R679" s="12" t="str">
        <f t="shared" si="132"/>
        <v>Không đạt</v>
      </c>
      <c r="S679" s="10"/>
      <c r="T679" s="95"/>
    </row>
    <row r="680" spans="1:21" s="84" customFormat="1" ht="12" hidden="1" customHeight="1" x14ac:dyDescent="0.25">
      <c r="A680" s="9" t="s">
        <v>185</v>
      </c>
      <c r="B680" s="1"/>
      <c r="C680" s="1" t="s">
        <v>1086</v>
      </c>
      <c r="D680" s="12">
        <f t="shared" si="133"/>
        <v>19.829999999999998</v>
      </c>
      <c r="E680" s="83">
        <v>15.7</v>
      </c>
      <c r="F680" s="83">
        <v>4.13</v>
      </c>
      <c r="G680" s="12">
        <v>58</v>
      </c>
      <c r="H680" s="12">
        <v>95.04</v>
      </c>
      <c r="I680" s="12">
        <f t="shared" si="134"/>
        <v>2</v>
      </c>
      <c r="J680" s="12" t="str">
        <f t="shared" si="135"/>
        <v>Đạt</v>
      </c>
      <c r="K680" s="10"/>
      <c r="L680" s="96">
        <f t="shared" si="130"/>
        <v>19.829999999999998</v>
      </c>
      <c r="M680" s="10">
        <v>15.7</v>
      </c>
      <c r="N680" s="10">
        <v>4.13</v>
      </c>
      <c r="O680" s="12">
        <v>58</v>
      </c>
      <c r="P680" s="97">
        <v>95</v>
      </c>
      <c r="Q680" s="12">
        <f t="shared" si="131"/>
        <v>2</v>
      </c>
      <c r="R680" s="12" t="str">
        <f t="shared" si="132"/>
        <v>Đạt</v>
      </c>
      <c r="S680" s="10"/>
      <c r="T680" s="95"/>
    </row>
    <row r="681" spans="1:21" s="84" customFormat="1" ht="12" hidden="1" customHeight="1" x14ac:dyDescent="0.25">
      <c r="A681" s="9" t="s">
        <v>186</v>
      </c>
      <c r="B681" s="1"/>
      <c r="C681" s="1" t="s">
        <v>1087</v>
      </c>
      <c r="D681" s="12">
        <f t="shared" si="133"/>
        <v>28.79</v>
      </c>
      <c r="E681" s="83">
        <v>15.91</v>
      </c>
      <c r="F681" s="83">
        <v>12.88</v>
      </c>
      <c r="G681" s="12">
        <v>90</v>
      </c>
      <c r="H681" s="12">
        <v>89.39</v>
      </c>
      <c r="I681" s="12">
        <f t="shared" si="134"/>
        <v>2</v>
      </c>
      <c r="J681" s="12" t="str">
        <f t="shared" si="135"/>
        <v>Đạt</v>
      </c>
      <c r="K681" s="10"/>
      <c r="L681" s="96">
        <f t="shared" si="130"/>
        <v>28.79</v>
      </c>
      <c r="M681" s="10">
        <v>15.91</v>
      </c>
      <c r="N681" s="10">
        <v>12.88</v>
      </c>
      <c r="O681" s="12">
        <v>90</v>
      </c>
      <c r="P681" s="97">
        <v>89.4</v>
      </c>
      <c r="Q681" s="12">
        <f t="shared" si="131"/>
        <v>2</v>
      </c>
      <c r="R681" s="12" t="str">
        <f t="shared" si="132"/>
        <v>Đạt</v>
      </c>
      <c r="S681" s="10"/>
      <c r="T681" s="95"/>
    </row>
    <row r="682" spans="1:21" s="84" customFormat="1" ht="12" hidden="1" customHeight="1" x14ac:dyDescent="0.25">
      <c r="A682" s="9" t="s">
        <v>187</v>
      </c>
      <c r="B682" s="1"/>
      <c r="C682" s="1" t="s">
        <v>1088</v>
      </c>
      <c r="D682" s="12">
        <f>E682+F682</f>
        <v>29.259999999999998</v>
      </c>
      <c r="E682" s="83">
        <v>16.489999999999998</v>
      </c>
      <c r="F682" s="83">
        <v>12.77</v>
      </c>
      <c r="G682" s="12">
        <v>85</v>
      </c>
      <c r="H682" s="12">
        <v>89.36</v>
      </c>
      <c r="I682" s="12">
        <f t="shared" si="134"/>
        <v>2</v>
      </c>
      <c r="J682" s="12" t="str">
        <f t="shared" si="135"/>
        <v>Đạt</v>
      </c>
      <c r="K682" s="10"/>
      <c r="L682" s="96">
        <f t="shared" si="130"/>
        <v>29.259999999999998</v>
      </c>
      <c r="M682" s="10">
        <v>16.489999999999998</v>
      </c>
      <c r="N682" s="10">
        <v>12.77</v>
      </c>
      <c r="O682" s="12">
        <v>85</v>
      </c>
      <c r="P682" s="97">
        <v>89.4</v>
      </c>
      <c r="Q682" s="12">
        <f t="shared" si="131"/>
        <v>2</v>
      </c>
      <c r="R682" s="12" t="str">
        <f t="shared" si="132"/>
        <v>Đạt</v>
      </c>
      <c r="S682" s="10"/>
      <c r="T682" s="95"/>
    </row>
    <row r="683" spans="1:21" s="95" customFormat="1" hidden="1" x14ac:dyDescent="0.25">
      <c r="A683" s="5" t="s">
        <v>262</v>
      </c>
      <c r="B683" s="6" t="s">
        <v>120</v>
      </c>
      <c r="C683" s="6"/>
      <c r="D683" s="8"/>
      <c r="E683" s="103"/>
      <c r="F683" s="103"/>
      <c r="G683" s="8"/>
      <c r="H683" s="8"/>
      <c r="I683" s="8"/>
      <c r="J683" s="8"/>
      <c r="K683" s="48">
        <f>COUNTIF(J684:J721,"Đạt")</f>
        <v>21</v>
      </c>
      <c r="L683" s="101">
        <f t="shared" si="130"/>
        <v>0</v>
      </c>
      <c r="M683" s="7"/>
      <c r="N683" s="7"/>
      <c r="O683" s="8"/>
      <c r="P683" s="102"/>
      <c r="Q683" s="77"/>
      <c r="R683" s="77"/>
      <c r="S683" s="48"/>
      <c r="T683" s="94"/>
      <c r="U683" s="84"/>
    </row>
    <row r="684" spans="1:21" s="84" customFormat="1" hidden="1" x14ac:dyDescent="0.25">
      <c r="A684" s="9" t="s">
        <v>148</v>
      </c>
      <c r="B684" s="1"/>
      <c r="C684" s="40" t="s">
        <v>224</v>
      </c>
      <c r="D684" s="114">
        <f t="shared" ref="D684:D720" si="136">E684+F684</f>
        <v>7.69</v>
      </c>
      <c r="E684" s="114">
        <v>6.15</v>
      </c>
      <c r="F684" s="114">
        <v>1.54</v>
      </c>
      <c r="G684" s="12">
        <v>8.8000000000000007</v>
      </c>
      <c r="H684" s="15">
        <f>(65-12)/65*100</f>
        <v>81.538461538461533</v>
      </c>
      <c r="I684" s="12">
        <f>SUM((IF(D684&gt;=16.24,1,0))+(IF(G684&lt;60,1,0))+(IF(H684&lt;90,1,0)))</f>
        <v>2</v>
      </c>
      <c r="J684" s="12" t="str">
        <f>IF(I684&gt;=2,"Đạt","Không đạt")</f>
        <v>Đạt</v>
      </c>
      <c r="K684" s="10"/>
      <c r="L684" s="96">
        <f t="shared" si="130"/>
        <v>7.69</v>
      </c>
      <c r="M684" s="10">
        <v>6.15</v>
      </c>
      <c r="N684" s="10">
        <v>1.54</v>
      </c>
      <c r="O684" s="12">
        <v>8.8000000000000007</v>
      </c>
      <c r="P684" s="97">
        <v>81.5</v>
      </c>
      <c r="Q684" s="12">
        <f t="shared" si="131"/>
        <v>2</v>
      </c>
      <c r="R684" s="12" t="str">
        <f t="shared" si="132"/>
        <v>Đạt</v>
      </c>
      <c r="S684" s="10"/>
      <c r="T684" s="95"/>
    </row>
    <row r="685" spans="1:21" s="84" customFormat="1" hidden="1" x14ac:dyDescent="0.25">
      <c r="A685" s="9" t="s">
        <v>149</v>
      </c>
      <c r="B685" s="1"/>
      <c r="C685" s="40" t="s">
        <v>225</v>
      </c>
      <c r="D685" s="114">
        <f t="shared" si="136"/>
        <v>10.9</v>
      </c>
      <c r="E685" s="114">
        <v>5.45</v>
      </c>
      <c r="F685" s="114">
        <v>5.45</v>
      </c>
      <c r="G685" s="12">
        <v>49.1</v>
      </c>
      <c r="H685" s="15">
        <v>88.3</v>
      </c>
      <c r="I685" s="12">
        <f t="shared" ref="I685:I721" si="137">SUM((IF(D685&gt;=16.24,1,0))+(IF(G685&lt;60,1,0))+(IF(H685&lt;90,1,0)))</f>
        <v>2</v>
      </c>
      <c r="J685" s="12" t="str">
        <f t="shared" ref="J685:J721" si="138">IF(I685&gt;=2,"Đạt","Không đạt")</f>
        <v>Đạt</v>
      </c>
      <c r="K685" s="10"/>
      <c r="L685" s="96">
        <f t="shared" si="130"/>
        <v>10.9</v>
      </c>
      <c r="M685" s="10">
        <v>5.45</v>
      </c>
      <c r="N685" s="10">
        <v>5.45</v>
      </c>
      <c r="O685" s="12">
        <v>49.1</v>
      </c>
      <c r="P685" s="97">
        <v>88.9</v>
      </c>
      <c r="Q685" s="12">
        <f t="shared" si="131"/>
        <v>2</v>
      </c>
      <c r="R685" s="12" t="str">
        <f t="shared" si="132"/>
        <v>Đạt</v>
      </c>
      <c r="S685" s="10"/>
      <c r="T685" s="95"/>
    </row>
    <row r="686" spans="1:21" s="84" customFormat="1" hidden="1" x14ac:dyDescent="0.25">
      <c r="A686" s="9" t="s">
        <v>150</v>
      </c>
      <c r="B686" s="1"/>
      <c r="C686" s="40" t="s">
        <v>226</v>
      </c>
      <c r="D686" s="114">
        <f t="shared" si="136"/>
        <v>17.03</v>
      </c>
      <c r="E686" s="114">
        <v>4.26</v>
      </c>
      <c r="F686" s="114">
        <v>12.77</v>
      </c>
      <c r="G686" s="12">
        <v>48.7</v>
      </c>
      <c r="H686" s="15">
        <v>87</v>
      </c>
      <c r="I686" s="12">
        <f t="shared" si="137"/>
        <v>3</v>
      </c>
      <c r="J686" s="12" t="str">
        <f t="shared" si="138"/>
        <v>Đạt</v>
      </c>
      <c r="K686" s="10"/>
      <c r="L686" s="96">
        <f t="shared" si="130"/>
        <v>17.03</v>
      </c>
      <c r="M686" s="10">
        <v>4.26</v>
      </c>
      <c r="N686" s="10">
        <v>12.77</v>
      </c>
      <c r="O686" s="12">
        <v>48.7</v>
      </c>
      <c r="P686" s="97">
        <v>87.2</v>
      </c>
      <c r="Q686" s="12">
        <f t="shared" si="131"/>
        <v>3</v>
      </c>
      <c r="R686" s="12" t="str">
        <f t="shared" si="132"/>
        <v>Đạt</v>
      </c>
      <c r="S686" s="10"/>
      <c r="T686" s="95"/>
    </row>
    <row r="687" spans="1:21" s="84" customFormat="1" hidden="1" x14ac:dyDescent="0.25">
      <c r="A687" s="9" t="s">
        <v>151</v>
      </c>
      <c r="B687" s="1"/>
      <c r="C687" s="40" t="s">
        <v>227</v>
      </c>
      <c r="D687" s="114">
        <f t="shared" si="136"/>
        <v>8.89</v>
      </c>
      <c r="E687" s="114">
        <v>2.2200000000000002</v>
      </c>
      <c r="F687" s="114">
        <v>6.67</v>
      </c>
      <c r="G687" s="12">
        <v>49.3</v>
      </c>
      <c r="H687" s="15">
        <f>(47-15)/47*100</f>
        <v>68.085106382978722</v>
      </c>
      <c r="I687" s="12">
        <f t="shared" si="137"/>
        <v>2</v>
      </c>
      <c r="J687" s="12" t="str">
        <f t="shared" si="138"/>
        <v>Đạt</v>
      </c>
      <c r="K687" s="10"/>
      <c r="L687" s="96">
        <f t="shared" si="130"/>
        <v>8.89</v>
      </c>
      <c r="M687" s="10">
        <v>2.2200000000000002</v>
      </c>
      <c r="N687" s="10">
        <v>6.67</v>
      </c>
      <c r="O687" s="12">
        <v>49.3</v>
      </c>
      <c r="P687" s="97">
        <v>68.099999999999994</v>
      </c>
      <c r="Q687" s="12">
        <f t="shared" si="131"/>
        <v>2</v>
      </c>
      <c r="R687" s="12" t="str">
        <f t="shared" si="132"/>
        <v>Đạt</v>
      </c>
      <c r="S687" s="10"/>
      <c r="T687" s="95"/>
    </row>
    <row r="688" spans="1:21" s="84" customFormat="1" hidden="1" x14ac:dyDescent="0.25">
      <c r="A688" s="9" t="s">
        <v>152</v>
      </c>
      <c r="B688" s="1"/>
      <c r="C688" s="40" t="s">
        <v>228</v>
      </c>
      <c r="D688" s="114">
        <f t="shared" si="136"/>
        <v>12.5</v>
      </c>
      <c r="E688" s="114">
        <v>8.33</v>
      </c>
      <c r="F688" s="114">
        <v>4.17</v>
      </c>
      <c r="G688" s="12">
        <v>50</v>
      </c>
      <c r="H688" s="15">
        <f>(72-16)/72*100</f>
        <v>77.777777777777786</v>
      </c>
      <c r="I688" s="12">
        <f t="shared" si="137"/>
        <v>2</v>
      </c>
      <c r="J688" s="12" t="str">
        <f t="shared" si="138"/>
        <v>Đạt</v>
      </c>
      <c r="K688" s="10"/>
      <c r="L688" s="96">
        <f t="shared" si="130"/>
        <v>12.5</v>
      </c>
      <c r="M688" s="10">
        <v>8.33</v>
      </c>
      <c r="N688" s="10">
        <v>4.17</v>
      </c>
      <c r="O688" s="12">
        <v>50</v>
      </c>
      <c r="P688" s="97">
        <v>77.8</v>
      </c>
      <c r="Q688" s="12">
        <f t="shared" si="131"/>
        <v>2</v>
      </c>
      <c r="R688" s="12" t="str">
        <f t="shared" si="132"/>
        <v>Đạt</v>
      </c>
      <c r="S688" s="10"/>
      <c r="T688" s="95"/>
    </row>
    <row r="689" spans="1:20" s="84" customFormat="1" hidden="1" x14ac:dyDescent="0.25">
      <c r="A689" s="9" t="s">
        <v>153</v>
      </c>
      <c r="B689" s="1"/>
      <c r="C689" s="40" t="s">
        <v>229</v>
      </c>
      <c r="D689" s="114">
        <f t="shared" si="136"/>
        <v>19.04</v>
      </c>
      <c r="E689" s="114">
        <v>9.52</v>
      </c>
      <c r="F689" s="114">
        <v>9.52</v>
      </c>
      <c r="G689" s="12">
        <v>48.6</v>
      </c>
      <c r="H689" s="15">
        <v>89.1</v>
      </c>
      <c r="I689" s="12">
        <f t="shared" si="137"/>
        <v>3</v>
      </c>
      <c r="J689" s="12" t="str">
        <f t="shared" si="138"/>
        <v>Đạt</v>
      </c>
      <c r="K689" s="10"/>
      <c r="L689" s="96">
        <f t="shared" si="130"/>
        <v>19.04</v>
      </c>
      <c r="M689" s="10">
        <v>9.52</v>
      </c>
      <c r="N689" s="10">
        <v>9.52</v>
      </c>
      <c r="O689" s="12">
        <v>48.6</v>
      </c>
      <c r="P689" s="97">
        <v>88.1</v>
      </c>
      <c r="Q689" s="12">
        <f t="shared" si="131"/>
        <v>3</v>
      </c>
      <c r="R689" s="12" t="str">
        <f t="shared" si="132"/>
        <v>Đạt</v>
      </c>
      <c r="S689" s="10"/>
      <c r="T689" s="95"/>
    </row>
    <row r="690" spans="1:20" s="84" customFormat="1" hidden="1" x14ac:dyDescent="0.25">
      <c r="A690" s="9" t="s">
        <v>154</v>
      </c>
      <c r="B690" s="1"/>
      <c r="C690" s="40" t="s">
        <v>230</v>
      </c>
      <c r="D690" s="114">
        <f t="shared" si="136"/>
        <v>18.52</v>
      </c>
      <c r="E690" s="114">
        <v>6.48</v>
      </c>
      <c r="F690" s="114">
        <v>12.04</v>
      </c>
      <c r="G690" s="12">
        <v>46.5</v>
      </c>
      <c r="H690" s="15">
        <f>(108-14)/108*100</f>
        <v>87.037037037037038</v>
      </c>
      <c r="I690" s="12">
        <f t="shared" si="137"/>
        <v>3</v>
      </c>
      <c r="J690" s="12" t="str">
        <f t="shared" si="138"/>
        <v>Đạt</v>
      </c>
      <c r="K690" s="10"/>
      <c r="L690" s="96">
        <f t="shared" si="130"/>
        <v>18.52</v>
      </c>
      <c r="M690" s="10">
        <v>6.48</v>
      </c>
      <c r="N690" s="10">
        <v>12.04</v>
      </c>
      <c r="O690" s="12">
        <v>46.5</v>
      </c>
      <c r="P690" s="97">
        <v>87</v>
      </c>
      <c r="Q690" s="12">
        <f t="shared" si="131"/>
        <v>3</v>
      </c>
      <c r="R690" s="12" t="str">
        <f t="shared" si="132"/>
        <v>Đạt</v>
      </c>
      <c r="S690" s="10"/>
      <c r="T690" s="95"/>
    </row>
    <row r="691" spans="1:20" s="84" customFormat="1" hidden="1" x14ac:dyDescent="0.25">
      <c r="A691" s="9" t="s">
        <v>155</v>
      </c>
      <c r="B691" s="1"/>
      <c r="C691" s="40" t="s">
        <v>231</v>
      </c>
      <c r="D691" s="114">
        <f t="shared" si="136"/>
        <v>21.619999999999997</v>
      </c>
      <c r="E691" s="114">
        <v>7.43</v>
      </c>
      <c r="F691" s="114">
        <v>14.19</v>
      </c>
      <c r="G691" s="12">
        <v>47.58</v>
      </c>
      <c r="H691" s="15">
        <f>(148-33)/148*100</f>
        <v>77.702702702702695</v>
      </c>
      <c r="I691" s="12">
        <f t="shared" si="137"/>
        <v>3</v>
      </c>
      <c r="J691" s="12" t="str">
        <f t="shared" si="138"/>
        <v>Đạt</v>
      </c>
      <c r="K691" s="10"/>
      <c r="L691" s="96">
        <f t="shared" si="130"/>
        <v>21.619999999999997</v>
      </c>
      <c r="M691" s="10">
        <v>7.43</v>
      </c>
      <c r="N691" s="10">
        <v>14.19</v>
      </c>
      <c r="O691" s="12">
        <v>47.58</v>
      </c>
      <c r="P691" s="97">
        <v>77.7</v>
      </c>
      <c r="Q691" s="12">
        <f t="shared" si="131"/>
        <v>3</v>
      </c>
      <c r="R691" s="12" t="str">
        <f t="shared" si="132"/>
        <v>Đạt</v>
      </c>
      <c r="S691" s="10"/>
      <c r="T691" s="95"/>
    </row>
    <row r="692" spans="1:20" s="84" customFormat="1" hidden="1" x14ac:dyDescent="0.25">
      <c r="A692" s="9" t="s">
        <v>156</v>
      </c>
      <c r="B692" s="1"/>
      <c r="C692" s="1" t="s">
        <v>232</v>
      </c>
      <c r="D692" s="114">
        <f t="shared" si="136"/>
        <v>11.96</v>
      </c>
      <c r="E692" s="114">
        <v>4.2699999999999996</v>
      </c>
      <c r="F692" s="114">
        <v>7.69</v>
      </c>
      <c r="G692" s="12">
        <v>48.3</v>
      </c>
      <c r="H692" s="15">
        <v>87.5</v>
      </c>
      <c r="I692" s="12">
        <f t="shared" si="137"/>
        <v>2</v>
      </c>
      <c r="J692" s="12" t="str">
        <f t="shared" si="138"/>
        <v>Đạt</v>
      </c>
      <c r="K692" s="10"/>
      <c r="L692" s="96">
        <f t="shared" si="130"/>
        <v>11.96</v>
      </c>
      <c r="M692" s="10">
        <v>4.2699999999999996</v>
      </c>
      <c r="N692" s="10">
        <v>7.69</v>
      </c>
      <c r="O692" s="12">
        <v>48.3</v>
      </c>
      <c r="P692" s="97">
        <v>87.3</v>
      </c>
      <c r="Q692" s="12">
        <f t="shared" si="131"/>
        <v>2</v>
      </c>
      <c r="R692" s="12" t="str">
        <f t="shared" si="132"/>
        <v>Đạt</v>
      </c>
      <c r="S692" s="10"/>
      <c r="T692" s="95"/>
    </row>
    <row r="693" spans="1:20" s="84" customFormat="1" hidden="1" x14ac:dyDescent="0.25">
      <c r="A693" s="9" t="s">
        <v>157</v>
      </c>
      <c r="B693" s="1"/>
      <c r="C693" s="1" t="s">
        <v>233</v>
      </c>
      <c r="D693" s="114">
        <f t="shared" si="136"/>
        <v>10.82</v>
      </c>
      <c r="E693" s="114">
        <v>2.64</v>
      </c>
      <c r="F693" s="114">
        <v>8.18</v>
      </c>
      <c r="G693" s="12">
        <v>100</v>
      </c>
      <c r="H693" s="15">
        <v>100</v>
      </c>
      <c r="I693" s="12">
        <f t="shared" si="137"/>
        <v>0</v>
      </c>
      <c r="J693" s="12" t="str">
        <f t="shared" si="138"/>
        <v>Không đạt</v>
      </c>
      <c r="K693" s="10"/>
      <c r="L693" s="96">
        <f t="shared" si="130"/>
        <v>11.82</v>
      </c>
      <c r="M693" s="10">
        <v>3.64</v>
      </c>
      <c r="N693" s="10">
        <v>8.18</v>
      </c>
      <c r="O693" s="12">
        <v>100</v>
      </c>
      <c r="P693" s="97">
        <v>100</v>
      </c>
      <c r="Q693" s="12">
        <f t="shared" si="131"/>
        <v>0</v>
      </c>
      <c r="R693" s="12" t="str">
        <f t="shared" si="132"/>
        <v>Không đạt</v>
      </c>
      <c r="S693" s="10"/>
      <c r="T693" s="95"/>
    </row>
    <row r="694" spans="1:20" s="84" customFormat="1" hidden="1" x14ac:dyDescent="0.25">
      <c r="A694" s="9" t="s">
        <v>158</v>
      </c>
      <c r="B694" s="1"/>
      <c r="C694" s="1" t="s">
        <v>234</v>
      </c>
      <c r="D694" s="114">
        <f t="shared" si="136"/>
        <v>4.26</v>
      </c>
      <c r="E694" s="114">
        <v>2.56</v>
      </c>
      <c r="F694" s="114">
        <v>1.7</v>
      </c>
      <c r="G694" s="12">
        <v>100</v>
      </c>
      <c r="H694" s="15">
        <v>100</v>
      </c>
      <c r="I694" s="12">
        <f t="shared" si="137"/>
        <v>0</v>
      </c>
      <c r="J694" s="12" t="str">
        <f t="shared" si="138"/>
        <v>Không đạt</v>
      </c>
      <c r="K694" s="10"/>
      <c r="L694" s="96">
        <f t="shared" si="130"/>
        <v>4.2699999999999996</v>
      </c>
      <c r="M694" s="10">
        <v>2.56</v>
      </c>
      <c r="N694" s="10">
        <v>1.71</v>
      </c>
      <c r="O694" s="12">
        <v>100</v>
      </c>
      <c r="P694" s="97">
        <v>100</v>
      </c>
      <c r="Q694" s="12">
        <f t="shared" si="131"/>
        <v>0</v>
      </c>
      <c r="R694" s="12" t="str">
        <f t="shared" si="132"/>
        <v>Không đạt</v>
      </c>
      <c r="S694" s="10"/>
      <c r="T694" s="95"/>
    </row>
    <row r="695" spans="1:20" s="84" customFormat="1" hidden="1" x14ac:dyDescent="0.25">
      <c r="A695" s="9" t="s">
        <v>159</v>
      </c>
      <c r="B695" s="1"/>
      <c r="C695" s="1" t="s">
        <v>235</v>
      </c>
      <c r="D695" s="114">
        <f t="shared" si="136"/>
        <v>8.48</v>
      </c>
      <c r="E695" s="114">
        <v>4.24</v>
      </c>
      <c r="F695" s="114">
        <v>4.24</v>
      </c>
      <c r="G695" s="12">
        <v>43.54</v>
      </c>
      <c r="H695" s="15">
        <v>100</v>
      </c>
      <c r="I695" s="12">
        <f t="shared" si="137"/>
        <v>1</v>
      </c>
      <c r="J695" s="12" t="str">
        <f t="shared" si="138"/>
        <v>Không đạt</v>
      </c>
      <c r="K695" s="10"/>
      <c r="L695" s="96">
        <f t="shared" si="130"/>
        <v>8.48</v>
      </c>
      <c r="M695" s="10">
        <v>4.24</v>
      </c>
      <c r="N695" s="10">
        <v>4.24</v>
      </c>
      <c r="O695" s="12">
        <v>43.54</v>
      </c>
      <c r="P695" s="97">
        <v>100</v>
      </c>
      <c r="Q695" s="12">
        <f t="shared" si="131"/>
        <v>1</v>
      </c>
      <c r="R695" s="12" t="str">
        <f t="shared" si="132"/>
        <v>Không đạt</v>
      </c>
      <c r="S695" s="10"/>
      <c r="T695" s="95"/>
    </row>
    <row r="696" spans="1:20" s="84" customFormat="1" hidden="1" x14ac:dyDescent="0.25">
      <c r="A696" s="9" t="s">
        <v>160</v>
      </c>
      <c r="B696" s="1"/>
      <c r="C696" s="1" t="s">
        <v>236</v>
      </c>
      <c r="D696" s="114">
        <f t="shared" si="136"/>
        <v>7.28</v>
      </c>
      <c r="E696" s="114">
        <v>3.64</v>
      </c>
      <c r="F696" s="114">
        <v>3.64</v>
      </c>
      <c r="G696" s="12">
        <v>43.54</v>
      </c>
      <c r="H696" s="15">
        <v>100</v>
      </c>
      <c r="I696" s="12">
        <f t="shared" si="137"/>
        <v>1</v>
      </c>
      <c r="J696" s="12" t="str">
        <f t="shared" si="138"/>
        <v>Không đạt</v>
      </c>
      <c r="K696" s="10"/>
      <c r="L696" s="96">
        <f t="shared" si="130"/>
        <v>7.28</v>
      </c>
      <c r="M696" s="10">
        <v>3.64</v>
      </c>
      <c r="N696" s="10">
        <v>3.64</v>
      </c>
      <c r="O696" s="12">
        <v>43.54</v>
      </c>
      <c r="P696" s="97">
        <v>100</v>
      </c>
      <c r="Q696" s="12">
        <f t="shared" si="131"/>
        <v>1</v>
      </c>
      <c r="R696" s="12" t="str">
        <f t="shared" si="132"/>
        <v>Không đạt</v>
      </c>
      <c r="S696" s="10"/>
      <c r="T696" s="95"/>
    </row>
    <row r="697" spans="1:20" s="84" customFormat="1" hidden="1" x14ac:dyDescent="0.25">
      <c r="A697" s="9" t="s">
        <v>161</v>
      </c>
      <c r="B697" s="1"/>
      <c r="C697" s="1" t="s">
        <v>237</v>
      </c>
      <c r="D697" s="114">
        <f t="shared" si="136"/>
        <v>8.6</v>
      </c>
      <c r="E697" s="114">
        <v>2.15</v>
      </c>
      <c r="F697" s="114">
        <v>6.45</v>
      </c>
      <c r="G697" s="12">
        <v>100</v>
      </c>
      <c r="H697" s="15">
        <v>100</v>
      </c>
      <c r="I697" s="12">
        <f t="shared" si="137"/>
        <v>0</v>
      </c>
      <c r="J697" s="12" t="str">
        <f t="shared" si="138"/>
        <v>Không đạt</v>
      </c>
      <c r="K697" s="10"/>
      <c r="L697" s="96">
        <f t="shared" si="130"/>
        <v>8.6</v>
      </c>
      <c r="M697" s="10">
        <v>2.15</v>
      </c>
      <c r="N697" s="10">
        <v>6.45</v>
      </c>
      <c r="O697" s="12">
        <v>100</v>
      </c>
      <c r="P697" s="97">
        <v>100</v>
      </c>
      <c r="Q697" s="12">
        <f t="shared" si="131"/>
        <v>0</v>
      </c>
      <c r="R697" s="12" t="str">
        <f t="shared" si="132"/>
        <v>Không đạt</v>
      </c>
      <c r="S697" s="10"/>
      <c r="T697" s="95"/>
    </row>
    <row r="698" spans="1:20" s="84" customFormat="1" hidden="1" x14ac:dyDescent="0.25">
      <c r="A698" s="9" t="s">
        <v>162</v>
      </c>
      <c r="B698" s="1"/>
      <c r="C698" s="1" t="s">
        <v>238</v>
      </c>
      <c r="D698" s="114">
        <f t="shared" si="136"/>
        <v>8.9400000000000013</v>
      </c>
      <c r="E698" s="114">
        <v>3.25</v>
      </c>
      <c r="F698" s="114">
        <v>5.69</v>
      </c>
      <c r="G698" s="12">
        <v>100</v>
      </c>
      <c r="H698" s="15">
        <f>(123-30)/123*100</f>
        <v>75.609756097560975</v>
      </c>
      <c r="I698" s="12">
        <f t="shared" si="137"/>
        <v>1</v>
      </c>
      <c r="J698" s="12" t="str">
        <f t="shared" si="138"/>
        <v>Không đạt</v>
      </c>
      <c r="K698" s="10"/>
      <c r="L698" s="96">
        <f t="shared" si="130"/>
        <v>8.9400000000000013</v>
      </c>
      <c r="M698" s="10">
        <v>3.25</v>
      </c>
      <c r="N698" s="10">
        <v>5.69</v>
      </c>
      <c r="O698" s="12">
        <v>100</v>
      </c>
      <c r="P698" s="97">
        <v>75.599999999999994</v>
      </c>
      <c r="Q698" s="12">
        <f t="shared" si="131"/>
        <v>1</v>
      </c>
      <c r="R698" s="12" t="str">
        <f t="shared" si="132"/>
        <v>Không đạt</v>
      </c>
      <c r="S698" s="10"/>
      <c r="T698" s="95"/>
    </row>
    <row r="699" spans="1:20" s="84" customFormat="1" hidden="1" x14ac:dyDescent="0.25">
      <c r="A699" s="9" t="s">
        <v>163</v>
      </c>
      <c r="B699" s="1"/>
      <c r="C699" s="1" t="s">
        <v>239</v>
      </c>
      <c r="D699" s="114">
        <f t="shared" si="136"/>
        <v>19.64</v>
      </c>
      <c r="E699" s="114">
        <v>4.46</v>
      </c>
      <c r="F699" s="114">
        <v>15.18</v>
      </c>
      <c r="G699" s="12">
        <v>37.950000000000003</v>
      </c>
      <c r="H699" s="15">
        <v>65</v>
      </c>
      <c r="I699" s="12">
        <f t="shared" si="137"/>
        <v>3</v>
      </c>
      <c r="J699" s="12" t="str">
        <f t="shared" si="138"/>
        <v>Đạt</v>
      </c>
      <c r="K699" s="10"/>
      <c r="L699" s="96">
        <f t="shared" si="130"/>
        <v>19.64</v>
      </c>
      <c r="M699" s="10">
        <v>4.46</v>
      </c>
      <c r="N699" s="10">
        <v>15.18</v>
      </c>
      <c r="O699" s="12">
        <v>37.950000000000003</v>
      </c>
      <c r="P699" s="97">
        <v>64.900000000000006</v>
      </c>
      <c r="Q699" s="12">
        <f t="shared" si="131"/>
        <v>3</v>
      </c>
      <c r="R699" s="12" t="str">
        <f t="shared" si="132"/>
        <v>Đạt</v>
      </c>
      <c r="S699" s="10"/>
      <c r="T699" s="95"/>
    </row>
    <row r="700" spans="1:20" s="84" customFormat="1" hidden="1" x14ac:dyDescent="0.25">
      <c r="A700" s="9" t="s">
        <v>164</v>
      </c>
      <c r="B700" s="1"/>
      <c r="C700" s="1" t="s">
        <v>240</v>
      </c>
      <c r="D700" s="114">
        <f t="shared" si="136"/>
        <v>14.759999999999998</v>
      </c>
      <c r="E700" s="114">
        <v>6.56</v>
      </c>
      <c r="F700" s="114">
        <v>8.1999999999999993</v>
      </c>
      <c r="G700" s="12">
        <v>37.950000000000003</v>
      </c>
      <c r="H700" s="15">
        <v>83</v>
      </c>
      <c r="I700" s="12">
        <f t="shared" si="137"/>
        <v>2</v>
      </c>
      <c r="J700" s="12" t="str">
        <f t="shared" si="138"/>
        <v>Đạt</v>
      </c>
      <c r="K700" s="10"/>
      <c r="L700" s="96">
        <f t="shared" si="130"/>
        <v>14.759999999999998</v>
      </c>
      <c r="M700" s="10">
        <v>6.56</v>
      </c>
      <c r="N700" s="10">
        <v>8.1999999999999993</v>
      </c>
      <c r="O700" s="12">
        <v>37.950000000000003</v>
      </c>
      <c r="P700" s="97">
        <v>83.3</v>
      </c>
      <c r="Q700" s="12">
        <f t="shared" si="131"/>
        <v>2</v>
      </c>
      <c r="R700" s="12" t="str">
        <f t="shared" si="132"/>
        <v>Đạt</v>
      </c>
      <c r="S700" s="10"/>
      <c r="T700" s="95"/>
    </row>
    <row r="701" spans="1:20" s="84" customFormat="1" hidden="1" x14ac:dyDescent="0.25">
      <c r="A701" s="9" t="s">
        <v>165</v>
      </c>
      <c r="B701" s="1"/>
      <c r="C701" s="1" t="s">
        <v>241</v>
      </c>
      <c r="D701" s="114">
        <f t="shared" si="136"/>
        <v>10.59</v>
      </c>
      <c r="E701" s="114">
        <v>3.53</v>
      </c>
      <c r="F701" s="114">
        <v>7.06</v>
      </c>
      <c r="G701" s="12">
        <v>40</v>
      </c>
      <c r="H701" s="15">
        <f>(85-28)/85*100</f>
        <v>67.058823529411754</v>
      </c>
      <c r="I701" s="12">
        <f t="shared" si="137"/>
        <v>2</v>
      </c>
      <c r="J701" s="12" t="str">
        <f t="shared" si="138"/>
        <v>Đạt</v>
      </c>
      <c r="K701" s="10"/>
      <c r="L701" s="96">
        <f t="shared" si="130"/>
        <v>10.59</v>
      </c>
      <c r="M701" s="10">
        <v>3.53</v>
      </c>
      <c r="N701" s="10">
        <v>7.06</v>
      </c>
      <c r="O701" s="12">
        <v>40</v>
      </c>
      <c r="P701" s="97">
        <v>67.099999999999994</v>
      </c>
      <c r="Q701" s="12">
        <f t="shared" si="131"/>
        <v>2</v>
      </c>
      <c r="R701" s="12" t="str">
        <f t="shared" si="132"/>
        <v>Đạt</v>
      </c>
      <c r="S701" s="10"/>
      <c r="T701" s="95"/>
    </row>
    <row r="702" spans="1:20" s="84" customFormat="1" hidden="1" x14ac:dyDescent="0.25">
      <c r="A702" s="9" t="s">
        <v>166</v>
      </c>
      <c r="B702" s="1"/>
      <c r="C702" s="1" t="s">
        <v>242</v>
      </c>
      <c r="D702" s="114">
        <f t="shared" si="136"/>
        <v>5.13</v>
      </c>
      <c r="E702" s="114">
        <v>1.71</v>
      </c>
      <c r="F702" s="114">
        <v>3.42</v>
      </c>
      <c r="G702" s="12">
        <v>37.950000000000003</v>
      </c>
      <c r="H702" s="15">
        <v>100</v>
      </c>
      <c r="I702" s="12">
        <f t="shared" si="137"/>
        <v>1</v>
      </c>
      <c r="J702" s="12" t="str">
        <f t="shared" si="138"/>
        <v>Không đạt</v>
      </c>
      <c r="K702" s="10"/>
      <c r="L702" s="96">
        <f t="shared" si="130"/>
        <v>5.13</v>
      </c>
      <c r="M702" s="10">
        <v>1.71</v>
      </c>
      <c r="N702" s="10">
        <v>3.42</v>
      </c>
      <c r="O702" s="12">
        <v>37.950000000000003</v>
      </c>
      <c r="P702" s="97">
        <v>100</v>
      </c>
      <c r="Q702" s="12">
        <f t="shared" si="131"/>
        <v>1</v>
      </c>
      <c r="R702" s="12" t="str">
        <f t="shared" si="132"/>
        <v>Không đạt</v>
      </c>
      <c r="S702" s="10"/>
      <c r="T702" s="95"/>
    </row>
    <row r="703" spans="1:20" s="84" customFormat="1" hidden="1" x14ac:dyDescent="0.25">
      <c r="A703" s="9" t="s">
        <v>167</v>
      </c>
      <c r="B703" s="1"/>
      <c r="C703" s="1" t="s">
        <v>243</v>
      </c>
      <c r="D703" s="114">
        <f t="shared" si="136"/>
        <v>2.94</v>
      </c>
      <c r="E703" s="114"/>
      <c r="F703" s="114">
        <v>2.94</v>
      </c>
      <c r="G703" s="12">
        <v>100</v>
      </c>
      <c r="H703" s="15">
        <v>100</v>
      </c>
      <c r="I703" s="12">
        <f t="shared" si="137"/>
        <v>0</v>
      </c>
      <c r="J703" s="12" t="str">
        <f t="shared" si="138"/>
        <v>Không đạt</v>
      </c>
      <c r="K703" s="10"/>
      <c r="L703" s="96">
        <f t="shared" si="130"/>
        <v>2.94</v>
      </c>
      <c r="M703" s="10">
        <v>0</v>
      </c>
      <c r="N703" s="10">
        <v>2.94</v>
      </c>
      <c r="O703" s="12">
        <v>100</v>
      </c>
      <c r="P703" s="97">
        <v>100</v>
      </c>
      <c r="Q703" s="12">
        <f t="shared" si="131"/>
        <v>0</v>
      </c>
      <c r="R703" s="12" t="str">
        <f t="shared" si="132"/>
        <v>Không đạt</v>
      </c>
      <c r="S703" s="10"/>
      <c r="T703" s="95"/>
    </row>
    <row r="704" spans="1:20" s="84" customFormat="1" hidden="1" x14ac:dyDescent="0.25">
      <c r="A704" s="9" t="s">
        <v>168</v>
      </c>
      <c r="B704" s="1"/>
      <c r="C704" s="1" t="s">
        <v>244</v>
      </c>
      <c r="D704" s="114">
        <f t="shared" si="136"/>
        <v>4.8</v>
      </c>
      <c r="E704" s="114">
        <v>2.4</v>
      </c>
      <c r="F704" s="114">
        <v>2.4</v>
      </c>
      <c r="G704" s="12">
        <v>45.7</v>
      </c>
      <c r="H704" s="15">
        <f>(128-21)/128*100</f>
        <v>83.59375</v>
      </c>
      <c r="I704" s="12">
        <f t="shared" si="137"/>
        <v>2</v>
      </c>
      <c r="J704" s="12" t="str">
        <f t="shared" si="138"/>
        <v>Đạt</v>
      </c>
      <c r="K704" s="10"/>
      <c r="L704" s="96">
        <f t="shared" si="130"/>
        <v>4.8</v>
      </c>
      <c r="M704" s="10">
        <v>2.4</v>
      </c>
      <c r="N704" s="10">
        <v>2.4</v>
      </c>
      <c r="O704" s="12">
        <v>45.7</v>
      </c>
      <c r="P704" s="97">
        <v>83.6</v>
      </c>
      <c r="Q704" s="12">
        <f t="shared" si="131"/>
        <v>2</v>
      </c>
      <c r="R704" s="12" t="str">
        <f t="shared" si="132"/>
        <v>Đạt</v>
      </c>
      <c r="S704" s="10"/>
      <c r="T704" s="95"/>
    </row>
    <row r="705" spans="1:20" s="84" customFormat="1" hidden="1" x14ac:dyDescent="0.25">
      <c r="A705" s="9" t="s">
        <v>169</v>
      </c>
      <c r="B705" s="1"/>
      <c r="C705" s="1" t="s">
        <v>245</v>
      </c>
      <c r="D705" s="114">
        <f t="shared" si="136"/>
        <v>8.34</v>
      </c>
      <c r="E705" s="114">
        <v>1.67</v>
      </c>
      <c r="F705" s="114">
        <v>6.67</v>
      </c>
      <c r="G705" s="12">
        <v>49.3</v>
      </c>
      <c r="H705" s="15">
        <f>(117-29)/117*100</f>
        <v>75.213675213675216</v>
      </c>
      <c r="I705" s="12">
        <f t="shared" si="137"/>
        <v>2</v>
      </c>
      <c r="J705" s="12" t="str">
        <f t="shared" si="138"/>
        <v>Đạt</v>
      </c>
      <c r="K705" s="10"/>
      <c r="L705" s="96">
        <f t="shared" si="130"/>
        <v>8.34</v>
      </c>
      <c r="M705" s="10">
        <v>1.67</v>
      </c>
      <c r="N705" s="10">
        <v>6.67</v>
      </c>
      <c r="O705" s="12">
        <v>49.3</v>
      </c>
      <c r="P705" s="97">
        <v>75.2</v>
      </c>
      <c r="Q705" s="12">
        <f t="shared" si="131"/>
        <v>2</v>
      </c>
      <c r="R705" s="12" t="str">
        <f t="shared" si="132"/>
        <v>Đạt</v>
      </c>
      <c r="S705" s="10"/>
      <c r="T705" s="95"/>
    </row>
    <row r="706" spans="1:20" s="84" customFormat="1" hidden="1" x14ac:dyDescent="0.25">
      <c r="A706" s="9" t="s">
        <v>170</v>
      </c>
      <c r="B706" s="1"/>
      <c r="C706" s="1" t="s">
        <v>246</v>
      </c>
      <c r="D706" s="114">
        <f t="shared" si="136"/>
        <v>10.67</v>
      </c>
      <c r="E706" s="114">
        <v>2.67</v>
      </c>
      <c r="F706" s="114">
        <v>8</v>
      </c>
      <c r="G706" s="12">
        <v>100</v>
      </c>
      <c r="H706" s="15">
        <v>100</v>
      </c>
      <c r="I706" s="12">
        <f t="shared" si="137"/>
        <v>0</v>
      </c>
      <c r="J706" s="12" t="str">
        <f t="shared" si="138"/>
        <v>Không đạt</v>
      </c>
      <c r="K706" s="10"/>
      <c r="L706" s="96">
        <f t="shared" si="130"/>
        <v>10.67</v>
      </c>
      <c r="M706" s="10">
        <v>2.67</v>
      </c>
      <c r="N706" s="10">
        <v>8</v>
      </c>
      <c r="O706" s="12">
        <v>100</v>
      </c>
      <c r="P706" s="97">
        <v>100</v>
      </c>
      <c r="Q706" s="12">
        <f t="shared" si="131"/>
        <v>0</v>
      </c>
      <c r="R706" s="12" t="str">
        <f t="shared" si="132"/>
        <v>Không đạt</v>
      </c>
      <c r="S706" s="10"/>
      <c r="T706" s="95"/>
    </row>
    <row r="707" spans="1:20" s="84" customFormat="1" hidden="1" x14ac:dyDescent="0.25">
      <c r="A707" s="9" t="s">
        <v>171</v>
      </c>
      <c r="B707" s="1"/>
      <c r="C707" s="1" t="s">
        <v>247</v>
      </c>
      <c r="D707" s="114">
        <f t="shared" si="136"/>
        <v>10.530000000000001</v>
      </c>
      <c r="E707" s="114">
        <v>4.21</v>
      </c>
      <c r="F707" s="114">
        <v>6.32</v>
      </c>
      <c r="G707" s="12">
        <v>47.8</v>
      </c>
      <c r="H707" s="15">
        <f>(95-16)/96*100</f>
        <v>82.291666666666657</v>
      </c>
      <c r="I707" s="12">
        <f t="shared" si="137"/>
        <v>2</v>
      </c>
      <c r="J707" s="12" t="str">
        <f t="shared" si="138"/>
        <v>Đạt</v>
      </c>
      <c r="K707" s="10"/>
      <c r="L707" s="96">
        <f t="shared" ref="L707:L750" si="139">M707+N707</f>
        <v>10.530000000000001</v>
      </c>
      <c r="M707" s="10">
        <v>4.21</v>
      </c>
      <c r="N707" s="10">
        <v>6.32</v>
      </c>
      <c r="O707" s="12">
        <v>47.8</v>
      </c>
      <c r="P707" s="97">
        <v>82.1</v>
      </c>
      <c r="Q707" s="12">
        <f t="shared" ref="Q707:Q750" si="140">SUM((IF(L707&gt;=16.24,1,0))+(IF(O707&lt;60,1,0))+(IF(P707&lt;90,1,0)))</f>
        <v>2</v>
      </c>
      <c r="R707" s="12" t="str">
        <f t="shared" ref="R707:R750" si="141">IF(Q707&gt;=2,"Đạt","Không đạt")</f>
        <v>Đạt</v>
      </c>
      <c r="S707" s="10"/>
      <c r="T707" s="95"/>
    </row>
    <row r="708" spans="1:20" s="84" customFormat="1" hidden="1" x14ac:dyDescent="0.25">
      <c r="A708" s="9" t="s">
        <v>172</v>
      </c>
      <c r="B708" s="1"/>
      <c r="C708" s="1" t="s">
        <v>248</v>
      </c>
      <c r="D708" s="114">
        <f t="shared" si="136"/>
        <v>12.86</v>
      </c>
      <c r="E708" s="114">
        <v>4.29</v>
      </c>
      <c r="F708" s="114">
        <v>8.57</v>
      </c>
      <c r="G708" s="12">
        <v>100</v>
      </c>
      <c r="H708" s="15">
        <v>100</v>
      </c>
      <c r="I708" s="12">
        <f t="shared" si="137"/>
        <v>0</v>
      </c>
      <c r="J708" s="12" t="str">
        <f t="shared" si="138"/>
        <v>Không đạt</v>
      </c>
      <c r="K708" s="10"/>
      <c r="L708" s="96">
        <f t="shared" si="139"/>
        <v>12.86</v>
      </c>
      <c r="M708" s="10">
        <v>4.29</v>
      </c>
      <c r="N708" s="10">
        <v>8.57</v>
      </c>
      <c r="O708" s="12">
        <v>100</v>
      </c>
      <c r="P708" s="97">
        <v>100</v>
      </c>
      <c r="Q708" s="12">
        <f t="shared" si="140"/>
        <v>0</v>
      </c>
      <c r="R708" s="12" t="str">
        <f t="shared" si="141"/>
        <v>Không đạt</v>
      </c>
      <c r="S708" s="10"/>
      <c r="T708" s="95"/>
    </row>
    <row r="709" spans="1:20" s="84" customFormat="1" hidden="1" x14ac:dyDescent="0.25">
      <c r="A709" s="9" t="s">
        <v>173</v>
      </c>
      <c r="B709" s="1"/>
      <c r="C709" s="1" t="s">
        <v>249</v>
      </c>
      <c r="D709" s="114">
        <f t="shared" si="136"/>
        <v>9.52</v>
      </c>
      <c r="E709" s="114">
        <v>4.76</v>
      </c>
      <c r="F709" s="114">
        <v>4.76</v>
      </c>
      <c r="G709" s="12">
        <v>48.3</v>
      </c>
      <c r="H709" s="15">
        <f>(83-15)/85*100</f>
        <v>80</v>
      </c>
      <c r="I709" s="12">
        <f t="shared" si="137"/>
        <v>2</v>
      </c>
      <c r="J709" s="12" t="str">
        <f t="shared" si="138"/>
        <v>Đạt</v>
      </c>
      <c r="K709" s="10"/>
      <c r="L709" s="96">
        <f t="shared" si="139"/>
        <v>9.52</v>
      </c>
      <c r="M709" s="10">
        <v>4.76</v>
      </c>
      <c r="N709" s="10">
        <v>4.76</v>
      </c>
      <c r="O709" s="12">
        <v>48.3</v>
      </c>
      <c r="P709" s="97">
        <v>79.5</v>
      </c>
      <c r="Q709" s="12">
        <f t="shared" si="140"/>
        <v>2</v>
      </c>
      <c r="R709" s="12" t="str">
        <f t="shared" si="141"/>
        <v>Đạt</v>
      </c>
      <c r="S709" s="10"/>
      <c r="T709" s="95"/>
    </row>
    <row r="710" spans="1:20" s="84" customFormat="1" hidden="1" x14ac:dyDescent="0.25">
      <c r="A710" s="9" t="s">
        <v>174</v>
      </c>
      <c r="B710" s="1"/>
      <c r="C710" s="1" t="s">
        <v>250</v>
      </c>
      <c r="D710" s="114">
        <f t="shared" si="136"/>
        <v>5</v>
      </c>
      <c r="E710" s="114">
        <v>2.5</v>
      </c>
      <c r="F710" s="114">
        <v>2.5</v>
      </c>
      <c r="G710" s="12">
        <v>94.42</v>
      </c>
      <c r="H710" s="15">
        <f>(165-25)/165*100</f>
        <v>84.848484848484844</v>
      </c>
      <c r="I710" s="12">
        <f t="shared" si="137"/>
        <v>1</v>
      </c>
      <c r="J710" s="12" t="str">
        <f t="shared" si="138"/>
        <v>Không đạt</v>
      </c>
      <c r="K710" s="10"/>
      <c r="L710" s="96">
        <f t="shared" si="139"/>
        <v>5</v>
      </c>
      <c r="M710" s="10">
        <v>2.5</v>
      </c>
      <c r="N710" s="10">
        <v>2.5</v>
      </c>
      <c r="O710" s="12">
        <v>94.42</v>
      </c>
      <c r="P710" s="97">
        <v>84.8</v>
      </c>
      <c r="Q710" s="12">
        <f t="shared" si="140"/>
        <v>1</v>
      </c>
      <c r="R710" s="12" t="str">
        <f t="shared" si="141"/>
        <v>Không đạt</v>
      </c>
      <c r="S710" s="10"/>
      <c r="T710" s="95"/>
    </row>
    <row r="711" spans="1:20" s="84" customFormat="1" hidden="1" x14ac:dyDescent="0.25">
      <c r="A711" s="9" t="s">
        <v>175</v>
      </c>
      <c r="B711" s="1"/>
      <c r="C711" s="1" t="s">
        <v>251</v>
      </c>
      <c r="D711" s="114">
        <f t="shared" si="136"/>
        <v>8.93</v>
      </c>
      <c r="E711" s="114">
        <v>2.68</v>
      </c>
      <c r="F711" s="114">
        <v>6.25</v>
      </c>
      <c r="G711" s="12">
        <v>30.49</v>
      </c>
      <c r="H711" s="15">
        <f>(110-18)/110*100</f>
        <v>83.636363636363626</v>
      </c>
      <c r="I711" s="12">
        <f t="shared" si="137"/>
        <v>2</v>
      </c>
      <c r="J711" s="12" t="str">
        <f t="shared" si="138"/>
        <v>Đạt</v>
      </c>
      <c r="K711" s="10"/>
      <c r="L711" s="96">
        <f t="shared" si="139"/>
        <v>8.93</v>
      </c>
      <c r="M711" s="10">
        <v>2.68</v>
      </c>
      <c r="N711" s="10">
        <v>6.25</v>
      </c>
      <c r="O711" s="12">
        <v>30.49</v>
      </c>
      <c r="P711" s="97">
        <v>83.6</v>
      </c>
      <c r="Q711" s="12">
        <f t="shared" si="140"/>
        <v>2</v>
      </c>
      <c r="R711" s="12" t="str">
        <f t="shared" si="141"/>
        <v>Đạt</v>
      </c>
      <c r="S711" s="10"/>
      <c r="T711" s="95"/>
    </row>
    <row r="712" spans="1:20" s="84" customFormat="1" hidden="1" x14ac:dyDescent="0.25">
      <c r="A712" s="9" t="s">
        <v>176</v>
      </c>
      <c r="B712" s="1"/>
      <c r="C712" s="1" t="s">
        <v>252</v>
      </c>
      <c r="D712" s="114">
        <f t="shared" si="136"/>
        <v>10.31</v>
      </c>
      <c r="E712" s="114">
        <v>4.12</v>
      </c>
      <c r="F712" s="114">
        <v>6.19</v>
      </c>
      <c r="G712" s="12">
        <v>100</v>
      </c>
      <c r="H712" s="15">
        <v>100</v>
      </c>
      <c r="I712" s="12">
        <f t="shared" si="137"/>
        <v>0</v>
      </c>
      <c r="J712" s="12" t="str">
        <f t="shared" si="138"/>
        <v>Không đạt</v>
      </c>
      <c r="K712" s="10"/>
      <c r="L712" s="96">
        <f t="shared" si="139"/>
        <v>10.31</v>
      </c>
      <c r="M712" s="10">
        <v>4.12</v>
      </c>
      <c r="N712" s="10">
        <v>6.19</v>
      </c>
      <c r="O712" s="12">
        <v>100</v>
      </c>
      <c r="P712" s="97">
        <v>100</v>
      </c>
      <c r="Q712" s="12">
        <f t="shared" si="140"/>
        <v>0</v>
      </c>
      <c r="R712" s="12" t="str">
        <f t="shared" si="141"/>
        <v>Không đạt</v>
      </c>
      <c r="S712" s="10"/>
      <c r="T712" s="95"/>
    </row>
    <row r="713" spans="1:20" s="84" customFormat="1" hidden="1" x14ac:dyDescent="0.25">
      <c r="A713" s="9" t="s">
        <v>177</v>
      </c>
      <c r="B713" s="1"/>
      <c r="C713" s="1" t="s">
        <v>253</v>
      </c>
      <c r="D713" s="114">
        <f t="shared" si="136"/>
        <v>10</v>
      </c>
      <c r="E713" s="114">
        <v>5</v>
      </c>
      <c r="F713" s="114">
        <v>5</v>
      </c>
      <c r="G713" s="12">
        <v>42.99</v>
      </c>
      <c r="H713" s="15">
        <v>87</v>
      </c>
      <c r="I713" s="12">
        <f t="shared" si="137"/>
        <v>2</v>
      </c>
      <c r="J713" s="12" t="str">
        <f t="shared" si="138"/>
        <v>Đạt</v>
      </c>
      <c r="K713" s="10"/>
      <c r="L713" s="96">
        <f t="shared" si="139"/>
        <v>10</v>
      </c>
      <c r="M713" s="10">
        <v>5</v>
      </c>
      <c r="N713" s="10">
        <v>5</v>
      </c>
      <c r="O713" s="12">
        <v>42.99</v>
      </c>
      <c r="P713" s="97">
        <v>87.2</v>
      </c>
      <c r="Q713" s="12">
        <f t="shared" si="140"/>
        <v>2</v>
      </c>
      <c r="R713" s="12" t="str">
        <f t="shared" si="141"/>
        <v>Đạt</v>
      </c>
      <c r="S713" s="10"/>
      <c r="T713" s="95"/>
    </row>
    <row r="714" spans="1:20" s="84" customFormat="1" hidden="1" x14ac:dyDescent="0.25">
      <c r="A714" s="9" t="s">
        <v>178</v>
      </c>
      <c r="B714" s="1"/>
      <c r="C714" s="1" t="s">
        <v>254</v>
      </c>
      <c r="D714" s="114">
        <f t="shared" si="136"/>
        <v>10.75</v>
      </c>
      <c r="E714" s="114">
        <v>4.3</v>
      </c>
      <c r="F714" s="114">
        <v>6.45</v>
      </c>
      <c r="G714" s="12">
        <v>27.42</v>
      </c>
      <c r="H714" s="15">
        <v>84</v>
      </c>
      <c r="I714" s="12">
        <f t="shared" si="137"/>
        <v>2</v>
      </c>
      <c r="J714" s="12" t="str">
        <f t="shared" si="138"/>
        <v>Đạt</v>
      </c>
      <c r="K714" s="10"/>
      <c r="L714" s="96">
        <f t="shared" si="139"/>
        <v>10.75</v>
      </c>
      <c r="M714" s="10">
        <v>4.3</v>
      </c>
      <c r="N714" s="10">
        <v>6.45</v>
      </c>
      <c r="O714" s="12">
        <v>27.42</v>
      </c>
      <c r="P714" s="97">
        <v>83.9</v>
      </c>
      <c r="Q714" s="12">
        <f t="shared" si="140"/>
        <v>2</v>
      </c>
      <c r="R714" s="12" t="str">
        <f t="shared" si="141"/>
        <v>Đạt</v>
      </c>
      <c r="S714" s="10"/>
      <c r="T714" s="95"/>
    </row>
    <row r="715" spans="1:20" s="84" customFormat="1" hidden="1" x14ac:dyDescent="0.25">
      <c r="A715" s="9" t="s">
        <v>179</v>
      </c>
      <c r="B715" s="1"/>
      <c r="C715" s="1" t="s">
        <v>255</v>
      </c>
      <c r="D715" s="114">
        <f t="shared" si="136"/>
        <v>12.780000000000001</v>
      </c>
      <c r="E715" s="114">
        <v>4.6399999999999997</v>
      </c>
      <c r="F715" s="114">
        <v>8.14</v>
      </c>
      <c r="G715" s="12">
        <v>27.42</v>
      </c>
      <c r="H715" s="15">
        <v>87.5</v>
      </c>
      <c r="I715" s="12">
        <f t="shared" si="137"/>
        <v>2</v>
      </c>
      <c r="J715" s="12" t="str">
        <f t="shared" si="138"/>
        <v>Đạt</v>
      </c>
      <c r="K715" s="10"/>
      <c r="L715" s="96">
        <f t="shared" si="139"/>
        <v>12.780000000000001</v>
      </c>
      <c r="M715" s="10">
        <v>4.6399999999999997</v>
      </c>
      <c r="N715" s="10">
        <v>8.14</v>
      </c>
      <c r="O715" s="12">
        <v>27.42</v>
      </c>
      <c r="P715" s="97">
        <v>87.4</v>
      </c>
      <c r="Q715" s="12">
        <f t="shared" si="140"/>
        <v>2</v>
      </c>
      <c r="R715" s="12" t="str">
        <f t="shared" si="141"/>
        <v>Đạt</v>
      </c>
      <c r="S715" s="10"/>
      <c r="T715" s="95"/>
    </row>
    <row r="716" spans="1:20" s="84" customFormat="1" hidden="1" x14ac:dyDescent="0.25">
      <c r="A716" s="9" t="s">
        <v>180</v>
      </c>
      <c r="B716" s="1"/>
      <c r="C716" s="1" t="s">
        <v>256</v>
      </c>
      <c r="D716" s="114">
        <f t="shared" si="136"/>
        <v>5.47</v>
      </c>
      <c r="E716" s="114">
        <v>2.34</v>
      </c>
      <c r="F716" s="114">
        <v>3.13</v>
      </c>
      <c r="G716" s="12">
        <v>100</v>
      </c>
      <c r="H716" s="15">
        <v>100</v>
      </c>
      <c r="I716" s="12">
        <f t="shared" si="137"/>
        <v>0</v>
      </c>
      <c r="J716" s="12" t="str">
        <f t="shared" si="138"/>
        <v>Không đạt</v>
      </c>
      <c r="K716" s="10"/>
      <c r="L716" s="96">
        <f t="shared" si="139"/>
        <v>5.47</v>
      </c>
      <c r="M716" s="10">
        <v>2.34</v>
      </c>
      <c r="N716" s="10">
        <v>3.13</v>
      </c>
      <c r="O716" s="12">
        <v>100</v>
      </c>
      <c r="P716" s="97">
        <v>100</v>
      </c>
      <c r="Q716" s="12">
        <f t="shared" si="140"/>
        <v>0</v>
      </c>
      <c r="R716" s="12" t="str">
        <f t="shared" si="141"/>
        <v>Không đạt</v>
      </c>
      <c r="S716" s="10"/>
      <c r="T716" s="95"/>
    </row>
    <row r="717" spans="1:20" s="84" customFormat="1" hidden="1" x14ac:dyDescent="0.25">
      <c r="A717" s="9" t="s">
        <v>181</v>
      </c>
      <c r="B717" s="1"/>
      <c r="C717" s="1" t="s">
        <v>257</v>
      </c>
      <c r="D717" s="114">
        <f t="shared" si="136"/>
        <v>4.5</v>
      </c>
      <c r="E717" s="114">
        <v>1.8</v>
      </c>
      <c r="F717" s="114">
        <v>2.7</v>
      </c>
      <c r="G717" s="12">
        <v>100</v>
      </c>
      <c r="H717" s="15">
        <v>100</v>
      </c>
      <c r="I717" s="12">
        <f t="shared" si="137"/>
        <v>0</v>
      </c>
      <c r="J717" s="12" t="str">
        <f t="shared" si="138"/>
        <v>Không đạt</v>
      </c>
      <c r="K717" s="10"/>
      <c r="L717" s="96">
        <f t="shared" si="139"/>
        <v>4.5</v>
      </c>
      <c r="M717" s="10">
        <v>1.8</v>
      </c>
      <c r="N717" s="10">
        <v>2.7</v>
      </c>
      <c r="O717" s="12">
        <v>100</v>
      </c>
      <c r="P717" s="97">
        <v>100</v>
      </c>
      <c r="Q717" s="12">
        <f t="shared" si="140"/>
        <v>0</v>
      </c>
      <c r="R717" s="12" t="str">
        <f t="shared" si="141"/>
        <v>Không đạt</v>
      </c>
      <c r="S717" s="10"/>
      <c r="T717" s="95"/>
    </row>
    <row r="718" spans="1:20" s="84" customFormat="1" hidden="1" x14ac:dyDescent="0.25">
      <c r="A718" s="9" t="s">
        <v>182</v>
      </c>
      <c r="B718" s="1"/>
      <c r="C718" s="1" t="s">
        <v>258</v>
      </c>
      <c r="D718" s="114">
        <f t="shared" si="136"/>
        <v>10</v>
      </c>
      <c r="E718" s="114">
        <v>2.86</v>
      </c>
      <c r="F718" s="114">
        <v>7.14</v>
      </c>
      <c r="G718" s="12">
        <v>100</v>
      </c>
      <c r="H718" s="15">
        <v>100</v>
      </c>
      <c r="I718" s="12">
        <f t="shared" si="137"/>
        <v>0</v>
      </c>
      <c r="J718" s="12" t="str">
        <f t="shared" si="138"/>
        <v>Không đạt</v>
      </c>
      <c r="K718" s="10"/>
      <c r="L718" s="96">
        <f t="shared" si="139"/>
        <v>10</v>
      </c>
      <c r="M718" s="10">
        <v>2.86</v>
      </c>
      <c r="N718" s="10">
        <v>7.14</v>
      </c>
      <c r="O718" s="12">
        <v>100</v>
      </c>
      <c r="P718" s="97">
        <v>100</v>
      </c>
      <c r="Q718" s="12">
        <f t="shared" si="140"/>
        <v>0</v>
      </c>
      <c r="R718" s="12" t="str">
        <f t="shared" si="141"/>
        <v>Không đạt</v>
      </c>
      <c r="S718" s="10"/>
      <c r="T718" s="95"/>
    </row>
    <row r="719" spans="1:20" s="84" customFormat="1" hidden="1" x14ac:dyDescent="0.25">
      <c r="A719" s="9" t="s">
        <v>183</v>
      </c>
      <c r="B719" s="1"/>
      <c r="C719" s="1" t="s">
        <v>259</v>
      </c>
      <c r="D719" s="114">
        <f t="shared" si="136"/>
        <v>4.43</v>
      </c>
      <c r="E719" s="114">
        <v>1.9</v>
      </c>
      <c r="F719" s="114">
        <v>2.5299999999999998</v>
      </c>
      <c r="G719" s="12">
        <v>100</v>
      </c>
      <c r="H719" s="15">
        <v>100</v>
      </c>
      <c r="I719" s="12">
        <f t="shared" si="137"/>
        <v>0</v>
      </c>
      <c r="J719" s="12" t="str">
        <f t="shared" si="138"/>
        <v>Không đạt</v>
      </c>
      <c r="K719" s="10"/>
      <c r="L719" s="96">
        <f t="shared" si="139"/>
        <v>4.33</v>
      </c>
      <c r="M719" s="10">
        <v>1.8</v>
      </c>
      <c r="N719" s="10">
        <v>2.5299999999999998</v>
      </c>
      <c r="O719" s="12">
        <v>100</v>
      </c>
      <c r="P719" s="97">
        <v>100</v>
      </c>
      <c r="Q719" s="12">
        <f t="shared" si="140"/>
        <v>0</v>
      </c>
      <c r="R719" s="12" t="str">
        <f t="shared" si="141"/>
        <v>Không đạt</v>
      </c>
      <c r="S719" s="10"/>
      <c r="T719" s="95"/>
    </row>
    <row r="720" spans="1:20" s="84" customFormat="1" hidden="1" x14ac:dyDescent="0.25">
      <c r="A720" s="9" t="s">
        <v>184</v>
      </c>
      <c r="B720" s="1"/>
      <c r="C720" s="1" t="s">
        <v>260</v>
      </c>
      <c r="D720" s="114">
        <f t="shared" si="136"/>
        <v>7.6899999999999995</v>
      </c>
      <c r="E720" s="114">
        <v>3.42</v>
      </c>
      <c r="F720" s="114">
        <v>4.2699999999999996</v>
      </c>
      <c r="G720" s="12">
        <v>100</v>
      </c>
      <c r="H720" s="15">
        <v>100</v>
      </c>
      <c r="I720" s="12">
        <f t="shared" si="137"/>
        <v>0</v>
      </c>
      <c r="J720" s="12" t="str">
        <f t="shared" si="138"/>
        <v>Không đạt</v>
      </c>
      <c r="K720" s="10"/>
      <c r="L720" s="96">
        <f t="shared" si="139"/>
        <v>7.6899999999999995</v>
      </c>
      <c r="M720" s="10">
        <v>3.42</v>
      </c>
      <c r="N720" s="10">
        <v>4.2699999999999996</v>
      </c>
      <c r="O720" s="12">
        <v>100</v>
      </c>
      <c r="P720" s="97">
        <v>100</v>
      </c>
      <c r="Q720" s="12">
        <f t="shared" si="140"/>
        <v>0</v>
      </c>
      <c r="R720" s="12" t="str">
        <f t="shared" si="141"/>
        <v>Không đạt</v>
      </c>
      <c r="S720" s="10"/>
      <c r="T720" s="95"/>
    </row>
    <row r="721" spans="1:21" s="84" customFormat="1" hidden="1" x14ac:dyDescent="0.25">
      <c r="A721" s="9" t="s">
        <v>185</v>
      </c>
      <c r="B721" s="1"/>
      <c r="C721" s="1" t="s">
        <v>261</v>
      </c>
      <c r="D721" s="114">
        <f>E721+F721</f>
        <v>24.720000000000002</v>
      </c>
      <c r="E721" s="114">
        <v>5.62</v>
      </c>
      <c r="F721" s="114">
        <v>19.100000000000001</v>
      </c>
      <c r="G721" s="12">
        <v>40</v>
      </c>
      <c r="H721" s="12">
        <v>88.9</v>
      </c>
      <c r="I721" s="12">
        <f t="shared" si="137"/>
        <v>3</v>
      </c>
      <c r="J721" s="12" t="str">
        <f t="shared" si="138"/>
        <v>Đạt</v>
      </c>
      <c r="K721" s="10"/>
      <c r="L721" s="96">
        <f t="shared" si="139"/>
        <v>24.720000000000002</v>
      </c>
      <c r="M721" s="10">
        <v>5.62</v>
      </c>
      <c r="N721" s="10">
        <v>19.100000000000001</v>
      </c>
      <c r="O721" s="12">
        <v>40</v>
      </c>
      <c r="P721" s="97">
        <v>89.4</v>
      </c>
      <c r="Q721" s="12">
        <f t="shared" si="140"/>
        <v>3</v>
      </c>
      <c r="R721" s="12" t="str">
        <f t="shared" si="141"/>
        <v>Đạt</v>
      </c>
      <c r="S721" s="10"/>
      <c r="T721" s="95"/>
    </row>
    <row r="722" spans="1:21" s="100" customFormat="1" ht="16.5" customHeight="1" x14ac:dyDescent="0.25">
      <c r="A722" s="19" t="s">
        <v>468</v>
      </c>
      <c r="B722" s="20" t="s">
        <v>119</v>
      </c>
      <c r="C722" s="20"/>
      <c r="D722" s="22"/>
      <c r="E722" s="104"/>
      <c r="F722" s="104"/>
      <c r="G722" s="22"/>
      <c r="H722" s="22"/>
      <c r="I722" s="89"/>
      <c r="J722" s="89"/>
      <c r="K722" s="90">
        <f>COUNTIF(J723:J750,"Đạt")</f>
        <v>21</v>
      </c>
      <c r="L722" s="98">
        <f t="shared" si="139"/>
        <v>0</v>
      </c>
      <c r="M722" s="21"/>
      <c r="N722" s="21"/>
      <c r="O722" s="22"/>
      <c r="P722" s="99"/>
      <c r="Q722" s="89"/>
      <c r="R722" s="89"/>
      <c r="S722" s="90" t="s">
        <v>1194</v>
      </c>
      <c r="U722" s="84"/>
    </row>
    <row r="723" spans="1:21" s="84" customFormat="1" ht="16.5" hidden="1" customHeight="1" x14ac:dyDescent="0.25">
      <c r="A723" s="9" t="s">
        <v>148</v>
      </c>
      <c r="B723" s="1"/>
      <c r="C723" s="1" t="s">
        <v>469</v>
      </c>
      <c r="D723" s="114">
        <f>E723+F723</f>
        <v>6.6229411764705883</v>
      </c>
      <c r="E723" s="11">
        <v>4.2699999999999996</v>
      </c>
      <c r="F723" s="11">
        <v>2.3529411764705883</v>
      </c>
      <c r="G723" s="15">
        <v>62.711864406779661</v>
      </c>
      <c r="H723" s="15">
        <v>97</v>
      </c>
      <c r="I723" s="12">
        <f>SUM((IF(D723&gt;=16.24,1,0))+(IF(G723&lt;60,1,0))+(IF(H723&lt;90,1,0)))</f>
        <v>0</v>
      </c>
      <c r="J723" s="12" t="str">
        <f>IF(I723&gt;=2,"Đạt","Không đạt")</f>
        <v>Không đạt</v>
      </c>
      <c r="K723" s="10"/>
      <c r="L723" s="96">
        <f t="shared" si="139"/>
        <v>6.6999999999999993</v>
      </c>
      <c r="M723" s="10">
        <v>4.3</v>
      </c>
      <c r="N723" s="10">
        <v>2.4</v>
      </c>
      <c r="O723" s="15">
        <v>62.711864406779661</v>
      </c>
      <c r="P723" s="97">
        <v>88.793388429752071</v>
      </c>
      <c r="Q723" s="12">
        <f t="shared" si="140"/>
        <v>1</v>
      </c>
      <c r="R723" s="12" t="str">
        <f t="shared" si="141"/>
        <v>Không đạt</v>
      </c>
      <c r="S723" s="10"/>
      <c r="T723" s="95"/>
    </row>
    <row r="724" spans="1:21" s="84" customFormat="1" ht="33" customHeight="1" x14ac:dyDescent="0.25">
      <c r="A724" s="9" t="s">
        <v>149</v>
      </c>
      <c r="B724" s="1"/>
      <c r="C724" s="1" t="s">
        <v>470</v>
      </c>
      <c r="D724" s="114">
        <f t="shared" ref="D724:D750" si="142">E724+F724</f>
        <v>10.576923076923077</v>
      </c>
      <c r="E724" s="11">
        <v>5.7692307692307692</v>
      </c>
      <c r="F724" s="11">
        <v>4.8076923076923084</v>
      </c>
      <c r="G724" s="15">
        <v>59.064327485380119</v>
      </c>
      <c r="H724" s="15">
        <v>86</v>
      </c>
      <c r="I724" s="12">
        <f t="shared" ref="I724:I750" si="143">SUM((IF(D724&gt;=16.24,1,0))+(IF(G724&lt;60,1,0))+(IF(H724&lt;90,1,0)))</f>
        <v>2</v>
      </c>
      <c r="J724" s="12" t="str">
        <f t="shared" ref="J724:J750" si="144">IF(I724&gt;=2,"Đạt","Không đạt")</f>
        <v>Đạt</v>
      </c>
      <c r="K724" s="10"/>
      <c r="L724" s="96">
        <f t="shared" si="139"/>
        <v>10.6</v>
      </c>
      <c r="M724" s="10">
        <v>5.8</v>
      </c>
      <c r="N724" s="10">
        <v>4.8</v>
      </c>
      <c r="O724" s="15">
        <v>59.064327485380119</v>
      </c>
      <c r="P724" s="97">
        <v>97.058823529411768</v>
      </c>
      <c r="Q724" s="12">
        <f t="shared" si="140"/>
        <v>1</v>
      </c>
      <c r="R724" s="12" t="str">
        <f t="shared" si="141"/>
        <v>Không đạt</v>
      </c>
      <c r="S724" s="10" t="s">
        <v>1185</v>
      </c>
      <c r="T724" s="95"/>
    </row>
    <row r="725" spans="1:21" s="84" customFormat="1" ht="16.5" hidden="1" customHeight="1" x14ac:dyDescent="0.25">
      <c r="A725" s="9" t="s">
        <v>150</v>
      </c>
      <c r="B725" s="1"/>
      <c r="C725" s="1" t="s">
        <v>471</v>
      </c>
      <c r="D725" s="114">
        <f t="shared" si="142"/>
        <v>9</v>
      </c>
      <c r="E725" s="11">
        <v>4</v>
      </c>
      <c r="F725" s="11">
        <v>5</v>
      </c>
      <c r="G725" s="15">
        <v>59.487179487179489</v>
      </c>
      <c r="H725" s="15">
        <v>84</v>
      </c>
      <c r="I725" s="12">
        <f t="shared" si="143"/>
        <v>2</v>
      </c>
      <c r="J725" s="12" t="str">
        <f t="shared" si="144"/>
        <v>Đạt</v>
      </c>
      <c r="K725" s="10"/>
      <c r="L725" s="96">
        <f t="shared" si="139"/>
        <v>9</v>
      </c>
      <c r="M725" s="10">
        <v>4</v>
      </c>
      <c r="N725" s="10">
        <v>5</v>
      </c>
      <c r="O725" s="15">
        <v>59.487179487179489</v>
      </c>
      <c r="P725" s="97">
        <v>85.714285714285708</v>
      </c>
      <c r="Q725" s="12">
        <f t="shared" si="140"/>
        <v>2</v>
      </c>
      <c r="R725" s="12" t="str">
        <f t="shared" si="141"/>
        <v>Đạt</v>
      </c>
      <c r="S725" s="10"/>
      <c r="T725" s="95"/>
    </row>
    <row r="726" spans="1:21" s="84" customFormat="1" ht="16.5" hidden="1" customHeight="1" x14ac:dyDescent="0.25">
      <c r="A726" s="9" t="s">
        <v>151</v>
      </c>
      <c r="B726" s="1"/>
      <c r="C726" s="1" t="s">
        <v>472</v>
      </c>
      <c r="D726" s="114">
        <f t="shared" si="142"/>
        <v>15.26060606060606</v>
      </c>
      <c r="E726" s="11">
        <v>6.0606060606060606</v>
      </c>
      <c r="F726" s="11">
        <v>9.1999999999999993</v>
      </c>
      <c r="G726" s="15">
        <v>59.928229665071775</v>
      </c>
      <c r="H726" s="15">
        <v>88</v>
      </c>
      <c r="I726" s="12">
        <f t="shared" si="143"/>
        <v>2</v>
      </c>
      <c r="J726" s="12" t="str">
        <f t="shared" si="144"/>
        <v>Đạt</v>
      </c>
      <c r="K726" s="10"/>
      <c r="L726" s="96">
        <f t="shared" si="139"/>
        <v>15.299999999999999</v>
      </c>
      <c r="M726" s="10">
        <v>6.1</v>
      </c>
      <c r="N726" s="10">
        <v>9.1999999999999993</v>
      </c>
      <c r="O726" s="15">
        <v>59.928229665071775</v>
      </c>
      <c r="P726" s="97">
        <v>84.313725490196077</v>
      </c>
      <c r="Q726" s="12">
        <f t="shared" si="140"/>
        <v>2</v>
      </c>
      <c r="R726" s="12" t="str">
        <f t="shared" si="141"/>
        <v>Đạt</v>
      </c>
      <c r="S726" s="10"/>
      <c r="T726" s="95"/>
    </row>
    <row r="727" spans="1:21" s="84" customFormat="1" ht="16.5" hidden="1" customHeight="1" x14ac:dyDescent="0.25">
      <c r="A727" s="9" t="s">
        <v>152</v>
      </c>
      <c r="B727" s="1"/>
      <c r="C727" s="1" t="s">
        <v>473</v>
      </c>
      <c r="D727" s="114">
        <f t="shared" si="142"/>
        <v>10.46</v>
      </c>
      <c r="E727" s="11">
        <v>4.6500000000000004</v>
      </c>
      <c r="F727" s="11">
        <v>5.81</v>
      </c>
      <c r="G727" s="15">
        <v>50.330652368185888</v>
      </c>
      <c r="H727" s="15">
        <v>86</v>
      </c>
      <c r="I727" s="12">
        <f t="shared" si="143"/>
        <v>2</v>
      </c>
      <c r="J727" s="12" t="str">
        <f t="shared" si="144"/>
        <v>Đạt</v>
      </c>
      <c r="K727" s="10"/>
      <c r="L727" s="96">
        <f t="shared" si="139"/>
        <v>10.5</v>
      </c>
      <c r="M727" s="10">
        <v>4.7</v>
      </c>
      <c r="N727" s="10">
        <v>5.8</v>
      </c>
      <c r="O727" s="15">
        <v>50.330652368185888</v>
      </c>
      <c r="P727" s="97">
        <v>88.321167883211672</v>
      </c>
      <c r="Q727" s="12">
        <f t="shared" si="140"/>
        <v>2</v>
      </c>
      <c r="R727" s="12" t="str">
        <f t="shared" si="141"/>
        <v>Đạt</v>
      </c>
      <c r="S727" s="10"/>
      <c r="T727" s="95"/>
    </row>
    <row r="728" spans="1:21" s="84" customFormat="1" ht="16.5" hidden="1" customHeight="1" x14ac:dyDescent="0.25">
      <c r="A728" s="9" t="s">
        <v>153</v>
      </c>
      <c r="B728" s="1"/>
      <c r="C728" s="1" t="s">
        <v>474</v>
      </c>
      <c r="D728" s="114">
        <f t="shared" si="142"/>
        <v>10.050000000000001</v>
      </c>
      <c r="E728" s="11">
        <v>5.4</v>
      </c>
      <c r="F728" s="11">
        <v>4.6500000000000004</v>
      </c>
      <c r="G728" s="15">
        <v>59.94108983799704</v>
      </c>
      <c r="H728" s="15">
        <v>88</v>
      </c>
      <c r="I728" s="12">
        <f t="shared" si="143"/>
        <v>2</v>
      </c>
      <c r="J728" s="12" t="str">
        <f t="shared" si="144"/>
        <v>Đạt</v>
      </c>
      <c r="K728" s="10"/>
      <c r="L728" s="96">
        <f t="shared" si="139"/>
        <v>10.100000000000001</v>
      </c>
      <c r="M728" s="10">
        <v>5.4</v>
      </c>
      <c r="N728" s="10">
        <v>4.7</v>
      </c>
      <c r="O728" s="15">
        <v>59.94108983799704</v>
      </c>
      <c r="P728" s="97">
        <v>87.692307692307693</v>
      </c>
      <c r="Q728" s="12">
        <f t="shared" si="140"/>
        <v>2</v>
      </c>
      <c r="R728" s="12" t="str">
        <f t="shared" si="141"/>
        <v>Đạt</v>
      </c>
      <c r="S728" s="10"/>
      <c r="T728" s="95"/>
    </row>
    <row r="729" spans="1:21" s="84" customFormat="1" ht="16.5" hidden="1" customHeight="1" x14ac:dyDescent="0.25">
      <c r="A729" s="9" t="s">
        <v>154</v>
      </c>
      <c r="B729" s="1"/>
      <c r="C729" s="1" t="s">
        <v>475</v>
      </c>
      <c r="D729" s="114">
        <f t="shared" si="142"/>
        <v>11.11</v>
      </c>
      <c r="E729" s="11">
        <v>4.76</v>
      </c>
      <c r="F729" s="11">
        <v>6.35</v>
      </c>
      <c r="G729" s="15">
        <v>33.635571054925897</v>
      </c>
      <c r="H729" s="15">
        <v>84</v>
      </c>
      <c r="I729" s="12">
        <f t="shared" si="143"/>
        <v>2</v>
      </c>
      <c r="J729" s="12" t="str">
        <f t="shared" si="144"/>
        <v>Đạt</v>
      </c>
      <c r="K729" s="10"/>
      <c r="L729" s="96">
        <f t="shared" si="139"/>
        <v>11.2</v>
      </c>
      <c r="M729" s="10">
        <v>4.8</v>
      </c>
      <c r="N729" s="10">
        <v>6.4</v>
      </c>
      <c r="O729" s="15">
        <v>33.635571054925897</v>
      </c>
      <c r="P729" s="97">
        <v>88.235294117647058</v>
      </c>
      <c r="Q729" s="12">
        <f t="shared" si="140"/>
        <v>2</v>
      </c>
      <c r="R729" s="12" t="str">
        <f t="shared" si="141"/>
        <v>Đạt</v>
      </c>
      <c r="S729" s="10"/>
      <c r="T729" s="95"/>
    </row>
    <row r="730" spans="1:21" s="84" customFormat="1" ht="16.5" hidden="1" customHeight="1" x14ac:dyDescent="0.25">
      <c r="A730" s="9" t="s">
        <v>155</v>
      </c>
      <c r="B730" s="1"/>
      <c r="C730" s="1" t="s">
        <v>476</v>
      </c>
      <c r="D730" s="114">
        <f t="shared" si="142"/>
        <v>11.991904761904763</v>
      </c>
      <c r="E730" s="11">
        <v>7.23</v>
      </c>
      <c r="F730" s="11">
        <v>4.7619047619047619</v>
      </c>
      <c r="G730" s="15">
        <v>40.701168614357272</v>
      </c>
      <c r="H730" s="15">
        <v>88</v>
      </c>
      <c r="I730" s="12">
        <f t="shared" si="143"/>
        <v>2</v>
      </c>
      <c r="J730" s="12" t="str">
        <f t="shared" si="144"/>
        <v>Đạt</v>
      </c>
      <c r="K730" s="10"/>
      <c r="L730" s="96">
        <f t="shared" si="139"/>
        <v>12</v>
      </c>
      <c r="M730" s="10">
        <v>7.2</v>
      </c>
      <c r="N730" s="10">
        <v>4.8</v>
      </c>
      <c r="O730" s="15">
        <v>40.701168614357272</v>
      </c>
      <c r="P730" s="97">
        <v>85.882352941176478</v>
      </c>
      <c r="Q730" s="12">
        <f t="shared" si="140"/>
        <v>2</v>
      </c>
      <c r="R730" s="12" t="str">
        <f t="shared" si="141"/>
        <v>Đạt</v>
      </c>
      <c r="S730" s="10"/>
      <c r="T730" s="95"/>
    </row>
    <row r="731" spans="1:21" s="84" customFormat="1" ht="16.5" hidden="1" customHeight="1" x14ac:dyDescent="0.25">
      <c r="A731" s="9" t="s">
        <v>156</v>
      </c>
      <c r="B731" s="1"/>
      <c r="C731" s="1" t="s">
        <v>477</v>
      </c>
      <c r="D731" s="114">
        <f t="shared" si="142"/>
        <v>11.888111888111888</v>
      </c>
      <c r="E731" s="11">
        <v>4.895104895104895</v>
      </c>
      <c r="F731" s="11">
        <v>6.9930069930069934</v>
      </c>
      <c r="G731" s="15">
        <v>59.38375350140057</v>
      </c>
      <c r="H731" s="15">
        <v>87</v>
      </c>
      <c r="I731" s="12">
        <f t="shared" si="143"/>
        <v>2</v>
      </c>
      <c r="J731" s="12" t="str">
        <f t="shared" si="144"/>
        <v>Đạt</v>
      </c>
      <c r="K731" s="10"/>
      <c r="L731" s="96">
        <f t="shared" si="139"/>
        <v>11.9</v>
      </c>
      <c r="M731" s="10">
        <v>4.9000000000000004</v>
      </c>
      <c r="N731" s="10">
        <v>7</v>
      </c>
      <c r="O731" s="15">
        <v>59.38375350140057</v>
      </c>
      <c r="P731" s="97">
        <v>84.126984126984127</v>
      </c>
      <c r="Q731" s="12">
        <f t="shared" si="140"/>
        <v>2</v>
      </c>
      <c r="R731" s="12" t="str">
        <f t="shared" si="141"/>
        <v>Đạt</v>
      </c>
      <c r="S731" s="10"/>
      <c r="T731" s="95"/>
    </row>
    <row r="732" spans="1:21" s="84" customFormat="1" ht="16.5" hidden="1" customHeight="1" x14ac:dyDescent="0.25">
      <c r="A732" s="9" t="s">
        <v>157</v>
      </c>
      <c r="B732" s="1"/>
      <c r="C732" s="1" t="s">
        <v>478</v>
      </c>
      <c r="D732" s="114">
        <f t="shared" si="142"/>
        <v>1.56</v>
      </c>
      <c r="E732" s="11">
        <v>1.56</v>
      </c>
      <c r="F732" s="11">
        <v>0</v>
      </c>
      <c r="G732" s="15">
        <v>78.048780487804876</v>
      </c>
      <c r="H732" s="15">
        <v>93</v>
      </c>
      <c r="I732" s="12">
        <f t="shared" si="143"/>
        <v>0</v>
      </c>
      <c r="J732" s="12" t="str">
        <f t="shared" si="144"/>
        <v>Không đạt</v>
      </c>
      <c r="K732" s="10"/>
      <c r="L732" s="96">
        <f t="shared" si="139"/>
        <v>1.6</v>
      </c>
      <c r="M732" s="10">
        <v>1.6</v>
      </c>
      <c r="N732" s="10">
        <v>0</v>
      </c>
      <c r="O732" s="15">
        <v>78.048780487804876</v>
      </c>
      <c r="P732" s="97">
        <v>88.888888888888886</v>
      </c>
      <c r="Q732" s="12">
        <f t="shared" si="140"/>
        <v>1</v>
      </c>
      <c r="R732" s="12" t="str">
        <f t="shared" si="141"/>
        <v>Không đạt</v>
      </c>
      <c r="S732" s="10"/>
      <c r="T732" s="95"/>
    </row>
    <row r="733" spans="1:21" s="84" customFormat="1" ht="16.5" hidden="1" customHeight="1" x14ac:dyDescent="0.25">
      <c r="A733" s="9" t="s">
        <v>158</v>
      </c>
      <c r="B733" s="1"/>
      <c r="C733" s="1" t="s">
        <v>479</v>
      </c>
      <c r="D733" s="114">
        <f t="shared" si="142"/>
        <v>5.88</v>
      </c>
      <c r="E733" s="11">
        <v>2.94</v>
      </c>
      <c r="F733" s="11">
        <v>2.94</v>
      </c>
      <c r="G733" s="15">
        <v>59.479371316306484</v>
      </c>
      <c r="H733" s="15">
        <v>85</v>
      </c>
      <c r="I733" s="12">
        <f t="shared" si="143"/>
        <v>2</v>
      </c>
      <c r="J733" s="12" t="str">
        <f t="shared" si="144"/>
        <v>Đạt</v>
      </c>
      <c r="K733" s="10"/>
      <c r="L733" s="96">
        <f t="shared" si="139"/>
        <v>5.8</v>
      </c>
      <c r="M733" s="10">
        <v>2.9</v>
      </c>
      <c r="N733" s="10">
        <v>2.9</v>
      </c>
      <c r="O733" s="15">
        <v>59.479371316306484</v>
      </c>
      <c r="P733" s="97">
        <v>85.416666666666671</v>
      </c>
      <c r="Q733" s="12">
        <f t="shared" si="140"/>
        <v>2</v>
      </c>
      <c r="R733" s="12" t="str">
        <f t="shared" si="141"/>
        <v>Đạt</v>
      </c>
      <c r="S733" s="10"/>
      <c r="T733" s="95"/>
    </row>
    <row r="734" spans="1:21" s="84" customFormat="1" ht="35.25" customHeight="1" x14ac:dyDescent="0.25">
      <c r="A734" s="9" t="s">
        <v>159</v>
      </c>
      <c r="B734" s="1"/>
      <c r="C734" s="1" t="s">
        <v>480</v>
      </c>
      <c r="D734" s="114">
        <f t="shared" si="142"/>
        <v>10.870000000000001</v>
      </c>
      <c r="E734" s="11">
        <v>3.26</v>
      </c>
      <c r="F734" s="11">
        <v>7.61</v>
      </c>
      <c r="G734" s="15">
        <v>59.3</v>
      </c>
      <c r="H734" s="15">
        <v>85</v>
      </c>
      <c r="I734" s="12">
        <f t="shared" si="143"/>
        <v>2</v>
      </c>
      <c r="J734" s="12" t="str">
        <f t="shared" si="144"/>
        <v>Đạt</v>
      </c>
      <c r="K734" s="10"/>
      <c r="L734" s="96">
        <f t="shared" si="139"/>
        <v>10.899999999999999</v>
      </c>
      <c r="M734" s="10">
        <v>3.3</v>
      </c>
      <c r="N734" s="10">
        <v>7.6</v>
      </c>
      <c r="O734" s="15">
        <v>59.3</v>
      </c>
      <c r="P734" s="97">
        <v>93.023255813953483</v>
      </c>
      <c r="Q734" s="12">
        <f t="shared" si="140"/>
        <v>1</v>
      </c>
      <c r="R734" s="12" t="str">
        <f t="shared" si="141"/>
        <v>Không đạt</v>
      </c>
      <c r="S734" s="10" t="s">
        <v>1185</v>
      </c>
      <c r="T734" s="95"/>
    </row>
    <row r="735" spans="1:21" s="84" customFormat="1" ht="16.5" hidden="1" customHeight="1" x14ac:dyDescent="0.25">
      <c r="A735" s="9" t="s">
        <v>160</v>
      </c>
      <c r="B735" s="1"/>
      <c r="C735" s="1" t="s">
        <v>493</v>
      </c>
      <c r="D735" s="114">
        <f t="shared" si="142"/>
        <v>10.64</v>
      </c>
      <c r="E735" s="11">
        <v>6.38</v>
      </c>
      <c r="F735" s="11">
        <v>4.26</v>
      </c>
      <c r="G735" s="15">
        <v>59.89922317866889</v>
      </c>
      <c r="H735" s="15">
        <v>85</v>
      </c>
      <c r="I735" s="12">
        <f t="shared" si="143"/>
        <v>2</v>
      </c>
      <c r="J735" s="12" t="str">
        <f t="shared" si="144"/>
        <v>Đạt</v>
      </c>
      <c r="K735" s="10"/>
      <c r="L735" s="96">
        <f t="shared" si="139"/>
        <v>10.7</v>
      </c>
      <c r="M735" s="10">
        <v>6.4</v>
      </c>
      <c r="N735" s="10">
        <v>4.3</v>
      </c>
      <c r="O735" s="15">
        <v>59.89922317866889</v>
      </c>
      <c r="P735" s="97">
        <v>84.158415841584159</v>
      </c>
      <c r="Q735" s="12">
        <f t="shared" si="140"/>
        <v>2</v>
      </c>
      <c r="R735" s="12" t="str">
        <f t="shared" si="141"/>
        <v>Đạt</v>
      </c>
      <c r="S735" s="10"/>
      <c r="T735" s="95"/>
    </row>
    <row r="736" spans="1:21" s="84" customFormat="1" ht="38.25" customHeight="1" x14ac:dyDescent="0.25">
      <c r="A736" s="9" t="s">
        <v>161</v>
      </c>
      <c r="B736" s="1"/>
      <c r="C736" s="1" t="s">
        <v>481</v>
      </c>
      <c r="D736" s="114">
        <f t="shared" si="142"/>
        <v>6.1899999999999995</v>
      </c>
      <c r="E736" s="11">
        <v>2.65</v>
      </c>
      <c r="F736" s="11">
        <v>3.54</v>
      </c>
      <c r="G736" s="15">
        <v>21.416149068322987</v>
      </c>
      <c r="H736" s="15">
        <v>89</v>
      </c>
      <c r="I736" s="12">
        <f t="shared" si="143"/>
        <v>2</v>
      </c>
      <c r="J736" s="12" t="str">
        <f t="shared" si="144"/>
        <v>Đạt</v>
      </c>
      <c r="K736" s="10"/>
      <c r="L736" s="96">
        <f t="shared" si="139"/>
        <v>6.2</v>
      </c>
      <c r="M736" s="10">
        <v>2.7</v>
      </c>
      <c r="N736" s="10">
        <v>3.5</v>
      </c>
      <c r="O736" s="15">
        <v>21.416149068322987</v>
      </c>
      <c r="P736" s="97">
        <v>95.698924731182785</v>
      </c>
      <c r="Q736" s="12">
        <f t="shared" si="140"/>
        <v>1</v>
      </c>
      <c r="R736" s="12" t="str">
        <f t="shared" si="141"/>
        <v>Không đạt</v>
      </c>
      <c r="S736" s="10" t="s">
        <v>1185</v>
      </c>
      <c r="T736" s="95"/>
    </row>
    <row r="737" spans="1:21" s="84" customFormat="1" ht="37.5" customHeight="1" x14ac:dyDescent="0.25">
      <c r="A737" s="9" t="s">
        <v>162</v>
      </c>
      <c r="B737" s="1"/>
      <c r="C737" s="1" t="s">
        <v>482</v>
      </c>
      <c r="D737" s="114">
        <f t="shared" si="142"/>
        <v>5.66</v>
      </c>
      <c r="E737" s="11">
        <v>2.83</v>
      </c>
      <c r="F737" s="11">
        <v>2.83</v>
      </c>
      <c r="G737" s="15">
        <v>47.047619047619051</v>
      </c>
      <c r="H737" s="15">
        <v>99</v>
      </c>
      <c r="I737" s="12">
        <f t="shared" si="143"/>
        <v>1</v>
      </c>
      <c r="J737" s="12" t="str">
        <f t="shared" si="144"/>
        <v>Không đạt</v>
      </c>
      <c r="K737" s="10"/>
      <c r="L737" s="96">
        <f t="shared" si="139"/>
        <v>5.6</v>
      </c>
      <c r="M737" s="10">
        <v>2.8</v>
      </c>
      <c r="N737" s="10">
        <v>2.8</v>
      </c>
      <c r="O737" s="15">
        <v>47.047619047619051</v>
      </c>
      <c r="P737" s="97">
        <v>85.840707964601776</v>
      </c>
      <c r="Q737" s="12">
        <f t="shared" si="140"/>
        <v>2</v>
      </c>
      <c r="R737" s="12" t="str">
        <f t="shared" si="141"/>
        <v>Đạt</v>
      </c>
      <c r="S737" s="10" t="s">
        <v>1190</v>
      </c>
      <c r="T737" s="95"/>
    </row>
    <row r="738" spans="1:21" s="84" customFormat="1" ht="16.5" hidden="1" customHeight="1" x14ac:dyDescent="0.25">
      <c r="A738" s="9" t="s">
        <v>163</v>
      </c>
      <c r="B738" s="1"/>
      <c r="C738" s="1" t="s">
        <v>483</v>
      </c>
      <c r="D738" s="114">
        <f t="shared" si="142"/>
        <v>3.34</v>
      </c>
      <c r="E738" s="11">
        <v>1.67</v>
      </c>
      <c r="F738" s="11">
        <v>1.67</v>
      </c>
      <c r="G738" s="15">
        <v>96.092362344582597</v>
      </c>
      <c r="H738" s="15">
        <v>98</v>
      </c>
      <c r="I738" s="12">
        <f t="shared" si="143"/>
        <v>0</v>
      </c>
      <c r="J738" s="12" t="str">
        <f t="shared" si="144"/>
        <v>Không đạt</v>
      </c>
      <c r="K738" s="10"/>
      <c r="L738" s="96">
        <f t="shared" si="139"/>
        <v>3.4</v>
      </c>
      <c r="M738" s="10">
        <v>1.7</v>
      </c>
      <c r="N738" s="10">
        <v>1.7</v>
      </c>
      <c r="O738" s="15">
        <v>96.092362344582597</v>
      </c>
      <c r="P738" s="97">
        <v>99.065420560747654</v>
      </c>
      <c r="Q738" s="12">
        <f t="shared" si="140"/>
        <v>0</v>
      </c>
      <c r="R738" s="12" t="str">
        <f t="shared" si="141"/>
        <v>Không đạt</v>
      </c>
      <c r="S738" s="10"/>
      <c r="T738" s="95"/>
    </row>
    <row r="739" spans="1:21" s="84" customFormat="1" ht="37.5" customHeight="1" x14ac:dyDescent="0.25">
      <c r="A739" s="9" t="s">
        <v>164</v>
      </c>
      <c r="B739" s="1"/>
      <c r="C739" s="1" t="s">
        <v>484</v>
      </c>
      <c r="D739" s="114">
        <f t="shared" si="142"/>
        <v>7.5299999999999994</v>
      </c>
      <c r="E739" s="11">
        <v>3.23</v>
      </c>
      <c r="F739" s="11">
        <v>4.3</v>
      </c>
      <c r="G739" s="15">
        <v>41.293250141803746</v>
      </c>
      <c r="H739" s="15">
        <v>96</v>
      </c>
      <c r="I739" s="12">
        <f t="shared" si="143"/>
        <v>1</v>
      </c>
      <c r="J739" s="12" t="str">
        <f t="shared" si="144"/>
        <v>Không đạt</v>
      </c>
      <c r="K739" s="10"/>
      <c r="L739" s="96">
        <f t="shared" si="139"/>
        <v>7.5</v>
      </c>
      <c r="M739" s="10">
        <v>3.2</v>
      </c>
      <c r="N739" s="10">
        <v>4.3</v>
      </c>
      <c r="O739" s="15">
        <v>41.293250141803746</v>
      </c>
      <c r="P739" s="97">
        <v>86.986301369863014</v>
      </c>
      <c r="Q739" s="12">
        <f t="shared" si="140"/>
        <v>2</v>
      </c>
      <c r="R739" s="12" t="str">
        <f t="shared" si="141"/>
        <v>Đạt</v>
      </c>
      <c r="S739" s="10" t="s">
        <v>1190</v>
      </c>
      <c r="T739" s="95"/>
    </row>
    <row r="740" spans="1:21" s="84" customFormat="1" ht="16.5" hidden="1" customHeight="1" x14ac:dyDescent="0.25">
      <c r="A740" s="9" t="s">
        <v>165</v>
      </c>
      <c r="B740" s="1"/>
      <c r="C740" s="1" t="s">
        <v>485</v>
      </c>
      <c r="D740" s="114">
        <f t="shared" si="142"/>
        <v>4.49</v>
      </c>
      <c r="E740" s="11">
        <v>3.37</v>
      </c>
      <c r="F740" s="11">
        <v>1.1200000000000001</v>
      </c>
      <c r="G740" s="15">
        <v>58.463136033229489</v>
      </c>
      <c r="H740" s="15">
        <v>89</v>
      </c>
      <c r="I740" s="12">
        <f t="shared" si="143"/>
        <v>2</v>
      </c>
      <c r="J740" s="12" t="str">
        <f t="shared" si="144"/>
        <v>Đạt</v>
      </c>
      <c r="K740" s="10"/>
      <c r="L740" s="96">
        <f t="shared" si="139"/>
        <v>4.5</v>
      </c>
      <c r="M740" s="10">
        <v>3.4</v>
      </c>
      <c r="N740" s="10">
        <v>1.1000000000000001</v>
      </c>
      <c r="O740" s="15">
        <v>58.463136033229489</v>
      </c>
      <c r="P740" s="97">
        <v>89.380530973451343</v>
      </c>
      <c r="Q740" s="12">
        <f t="shared" si="140"/>
        <v>2</v>
      </c>
      <c r="R740" s="12" t="str">
        <f t="shared" si="141"/>
        <v>Đạt</v>
      </c>
      <c r="S740" s="10"/>
      <c r="T740" s="95"/>
    </row>
    <row r="741" spans="1:21" s="84" customFormat="1" ht="16.5" hidden="1" customHeight="1" x14ac:dyDescent="0.25">
      <c r="A741" s="9" t="s">
        <v>166</v>
      </c>
      <c r="B741" s="1"/>
      <c r="C741" s="1" t="s">
        <v>486</v>
      </c>
      <c r="D741" s="114">
        <f t="shared" si="142"/>
        <v>6.37</v>
      </c>
      <c r="E741" s="11">
        <v>2.73</v>
      </c>
      <c r="F741" s="11">
        <v>3.64</v>
      </c>
      <c r="G741" s="15">
        <v>47.103274559193956</v>
      </c>
      <c r="H741" s="15">
        <v>86</v>
      </c>
      <c r="I741" s="12">
        <f t="shared" si="143"/>
        <v>2</v>
      </c>
      <c r="J741" s="12" t="str">
        <f t="shared" si="144"/>
        <v>Đạt</v>
      </c>
      <c r="K741" s="10"/>
      <c r="L741" s="96">
        <f t="shared" si="139"/>
        <v>6.3000000000000007</v>
      </c>
      <c r="M741" s="10">
        <v>2.7</v>
      </c>
      <c r="N741" s="10">
        <v>3.6</v>
      </c>
      <c r="O741" s="15">
        <v>47.103274559193956</v>
      </c>
      <c r="P741" s="97">
        <v>84.761904761904759</v>
      </c>
      <c r="Q741" s="12">
        <f t="shared" si="140"/>
        <v>2</v>
      </c>
      <c r="R741" s="12" t="str">
        <f t="shared" si="141"/>
        <v>Đạt</v>
      </c>
      <c r="S741" s="10"/>
      <c r="T741" s="95"/>
    </row>
    <row r="742" spans="1:21" s="84" customFormat="1" ht="16.5" hidden="1" customHeight="1" x14ac:dyDescent="0.25">
      <c r="A742" s="9" t="s">
        <v>167</v>
      </c>
      <c r="B742" s="1"/>
      <c r="C742" s="1" t="s">
        <v>487</v>
      </c>
      <c r="D742" s="114">
        <f t="shared" si="142"/>
        <v>2.94</v>
      </c>
      <c r="E742" s="11">
        <v>1.96</v>
      </c>
      <c r="F742" s="11">
        <v>0.98</v>
      </c>
      <c r="G742" s="15">
        <v>59.645669291338585</v>
      </c>
      <c r="H742" s="15">
        <v>84</v>
      </c>
      <c r="I742" s="12">
        <f t="shared" si="143"/>
        <v>2</v>
      </c>
      <c r="J742" s="12" t="str">
        <f t="shared" si="144"/>
        <v>Đạt</v>
      </c>
      <c r="K742" s="10"/>
      <c r="L742" s="96">
        <f t="shared" si="139"/>
        <v>3</v>
      </c>
      <c r="M742" s="10">
        <v>2</v>
      </c>
      <c r="N742" s="10">
        <v>1</v>
      </c>
      <c r="O742" s="15">
        <v>59.645669291338585</v>
      </c>
      <c r="P742" s="97">
        <v>84.782608695652172</v>
      </c>
      <c r="Q742" s="12">
        <f t="shared" si="140"/>
        <v>2</v>
      </c>
      <c r="R742" s="12" t="str">
        <f t="shared" si="141"/>
        <v>Đạt</v>
      </c>
      <c r="S742" s="10"/>
      <c r="T742" s="95"/>
    </row>
    <row r="743" spans="1:21" s="84" customFormat="1" ht="16.5" hidden="1" customHeight="1" x14ac:dyDescent="0.25">
      <c r="A743" s="9" t="s">
        <v>168</v>
      </c>
      <c r="B743" s="1"/>
      <c r="C743" s="1" t="s">
        <v>488</v>
      </c>
      <c r="D743" s="114">
        <f t="shared" si="142"/>
        <v>56</v>
      </c>
      <c r="E743" s="11">
        <v>28</v>
      </c>
      <c r="F743" s="11">
        <v>28</v>
      </c>
      <c r="G743" s="15">
        <v>41.249999999999993</v>
      </c>
      <c r="H743" s="15">
        <v>86</v>
      </c>
      <c r="I743" s="12">
        <f t="shared" si="143"/>
        <v>3</v>
      </c>
      <c r="J743" s="12" t="str">
        <f t="shared" si="144"/>
        <v>Đạt</v>
      </c>
      <c r="K743" s="10"/>
      <c r="L743" s="96">
        <f t="shared" si="139"/>
        <v>56</v>
      </c>
      <c r="M743" s="10">
        <v>28</v>
      </c>
      <c r="N743" s="10">
        <v>28</v>
      </c>
      <c r="O743" s="15">
        <v>41.249999999999993</v>
      </c>
      <c r="P743" s="97">
        <v>97.540983606557376</v>
      </c>
      <c r="Q743" s="12">
        <f t="shared" si="140"/>
        <v>2</v>
      </c>
      <c r="R743" s="12" t="str">
        <f t="shared" si="141"/>
        <v>Đạt</v>
      </c>
      <c r="S743" s="10"/>
      <c r="T743" s="95"/>
    </row>
    <row r="744" spans="1:21" s="84" customFormat="1" ht="16.5" hidden="1" customHeight="1" x14ac:dyDescent="0.25">
      <c r="A744" s="9" t="s">
        <v>169</v>
      </c>
      <c r="B744" s="1"/>
      <c r="C744" s="1" t="s">
        <v>489</v>
      </c>
      <c r="D744" s="114">
        <f t="shared" si="142"/>
        <v>12.74</v>
      </c>
      <c r="E744" s="11">
        <v>5.88</v>
      </c>
      <c r="F744" s="11">
        <v>6.86</v>
      </c>
      <c r="G744" s="15">
        <v>70</v>
      </c>
      <c r="H744" s="15">
        <v>85</v>
      </c>
      <c r="I744" s="12">
        <f t="shared" si="143"/>
        <v>1</v>
      </c>
      <c r="J744" s="12" t="str">
        <f t="shared" si="144"/>
        <v>Không đạt</v>
      </c>
      <c r="K744" s="10"/>
      <c r="L744" s="96">
        <f t="shared" si="139"/>
        <v>12.8</v>
      </c>
      <c r="M744" s="10">
        <v>5.9</v>
      </c>
      <c r="N744" s="10">
        <v>6.9</v>
      </c>
      <c r="O744" s="15">
        <v>70</v>
      </c>
      <c r="P744" s="97">
        <v>85.416666666666671</v>
      </c>
      <c r="Q744" s="12">
        <f t="shared" si="140"/>
        <v>1</v>
      </c>
      <c r="R744" s="12" t="str">
        <f t="shared" si="141"/>
        <v>Không đạt</v>
      </c>
      <c r="S744" s="10"/>
      <c r="T744" s="95"/>
    </row>
    <row r="745" spans="1:21" s="84" customFormat="1" ht="16.5" hidden="1" customHeight="1" x14ac:dyDescent="0.25">
      <c r="A745" s="9" t="s">
        <v>170</v>
      </c>
      <c r="B745" s="1"/>
      <c r="C745" s="1" t="s">
        <v>490</v>
      </c>
      <c r="D745" s="114">
        <f t="shared" si="142"/>
        <v>4.55</v>
      </c>
      <c r="E745" s="11">
        <v>3.64</v>
      </c>
      <c r="F745" s="11">
        <v>0.91</v>
      </c>
      <c r="G745" s="15">
        <v>64.475138121546962</v>
      </c>
      <c r="H745" s="15">
        <v>86</v>
      </c>
      <c r="I745" s="12">
        <f t="shared" si="143"/>
        <v>1</v>
      </c>
      <c r="J745" s="12" t="str">
        <f t="shared" si="144"/>
        <v>Không đạt</v>
      </c>
      <c r="K745" s="10"/>
      <c r="L745" s="96">
        <f t="shared" si="139"/>
        <v>4.5</v>
      </c>
      <c r="M745" s="10">
        <v>3.6</v>
      </c>
      <c r="N745" s="10">
        <v>0.9</v>
      </c>
      <c r="O745" s="15">
        <v>64.475138121546962</v>
      </c>
      <c r="P745" s="97">
        <v>84.761904761904759</v>
      </c>
      <c r="Q745" s="12">
        <f t="shared" si="140"/>
        <v>1</v>
      </c>
      <c r="R745" s="12" t="str">
        <f t="shared" si="141"/>
        <v>Không đạt</v>
      </c>
      <c r="S745" s="10"/>
      <c r="T745" s="95"/>
    </row>
    <row r="746" spans="1:21" s="84" customFormat="1" ht="16.5" hidden="1" customHeight="1" x14ac:dyDescent="0.25">
      <c r="A746" s="9" t="s">
        <v>171</v>
      </c>
      <c r="B746" s="1"/>
      <c r="C746" s="1" t="s">
        <v>491</v>
      </c>
      <c r="D746" s="114">
        <f t="shared" si="142"/>
        <v>12.5</v>
      </c>
      <c r="E746" s="11">
        <v>5.77</v>
      </c>
      <c r="F746" s="11">
        <v>6.73</v>
      </c>
      <c r="G746" s="15">
        <v>53.155637254901947</v>
      </c>
      <c r="H746" s="15">
        <v>88</v>
      </c>
      <c r="I746" s="12">
        <f t="shared" si="143"/>
        <v>2</v>
      </c>
      <c r="J746" s="12" t="str">
        <f t="shared" si="144"/>
        <v>Đạt</v>
      </c>
      <c r="K746" s="10"/>
      <c r="L746" s="96">
        <f t="shared" si="139"/>
        <v>12.5</v>
      </c>
      <c r="M746" s="10">
        <v>5.8</v>
      </c>
      <c r="N746" s="10">
        <v>6.7</v>
      </c>
      <c r="O746" s="15">
        <v>53.155637254901947</v>
      </c>
      <c r="P746" s="97">
        <v>88.709677419354833</v>
      </c>
      <c r="Q746" s="12">
        <f t="shared" si="140"/>
        <v>2</v>
      </c>
      <c r="R746" s="12" t="str">
        <f t="shared" si="141"/>
        <v>Đạt</v>
      </c>
      <c r="S746" s="10"/>
      <c r="T746" s="95"/>
    </row>
    <row r="747" spans="1:21" s="84" customFormat="1" ht="16.5" hidden="1" customHeight="1" x14ac:dyDescent="0.25">
      <c r="A747" s="9" t="s">
        <v>172</v>
      </c>
      <c r="B747" s="1"/>
      <c r="C747" s="1" t="s">
        <v>264</v>
      </c>
      <c r="D747" s="114">
        <f t="shared" si="142"/>
        <v>4.58</v>
      </c>
      <c r="E747" s="11">
        <v>3.05</v>
      </c>
      <c r="F747" s="11">
        <v>1.53</v>
      </c>
      <c r="G747" s="15">
        <v>41.333333333333336</v>
      </c>
      <c r="H747" s="15">
        <v>89</v>
      </c>
      <c r="I747" s="12">
        <f t="shared" si="143"/>
        <v>2</v>
      </c>
      <c r="J747" s="12" t="str">
        <f t="shared" si="144"/>
        <v>Đạt</v>
      </c>
      <c r="K747" s="10"/>
      <c r="L747" s="96">
        <f t="shared" si="139"/>
        <v>4.5999999999999996</v>
      </c>
      <c r="M747" s="10">
        <v>3.1</v>
      </c>
      <c r="N747" s="10">
        <v>1.5</v>
      </c>
      <c r="O747" s="15">
        <v>41.333333333333336</v>
      </c>
      <c r="P747" s="97">
        <v>85.148514851485146</v>
      </c>
      <c r="Q747" s="12">
        <f t="shared" si="140"/>
        <v>2</v>
      </c>
      <c r="R747" s="12" t="str">
        <f t="shared" si="141"/>
        <v>Đạt</v>
      </c>
      <c r="S747" s="10"/>
      <c r="T747" s="95"/>
    </row>
    <row r="748" spans="1:21" s="84" customFormat="1" ht="16.5" hidden="1" customHeight="1" x14ac:dyDescent="0.25">
      <c r="A748" s="9" t="s">
        <v>173</v>
      </c>
      <c r="B748" s="1"/>
      <c r="C748" s="1" t="s">
        <v>492</v>
      </c>
      <c r="D748" s="114">
        <f t="shared" si="142"/>
        <v>11.62</v>
      </c>
      <c r="E748" s="11">
        <v>4.5199999999999996</v>
      </c>
      <c r="F748" s="11">
        <v>7.1</v>
      </c>
      <c r="G748" s="15">
        <v>59.922338033926039</v>
      </c>
      <c r="H748" s="15">
        <v>88</v>
      </c>
      <c r="I748" s="12">
        <f t="shared" si="143"/>
        <v>2</v>
      </c>
      <c r="J748" s="12" t="str">
        <f t="shared" si="144"/>
        <v>Đạt</v>
      </c>
      <c r="K748" s="10"/>
      <c r="L748" s="96">
        <f t="shared" si="139"/>
        <v>11.6</v>
      </c>
      <c r="M748" s="10">
        <v>4.5</v>
      </c>
      <c r="N748" s="10">
        <v>7.1</v>
      </c>
      <c r="O748" s="15">
        <v>59.922338033926039</v>
      </c>
      <c r="P748" s="97">
        <v>86.36363636363636</v>
      </c>
      <c r="Q748" s="12">
        <f t="shared" si="140"/>
        <v>2</v>
      </c>
      <c r="R748" s="12" t="str">
        <f t="shared" si="141"/>
        <v>Đạt</v>
      </c>
      <c r="S748" s="10"/>
      <c r="T748" s="95"/>
    </row>
    <row r="749" spans="1:21" s="84" customFormat="1" ht="16.5" hidden="1" customHeight="1" x14ac:dyDescent="0.25">
      <c r="A749" s="9" t="s">
        <v>174</v>
      </c>
      <c r="B749" s="1"/>
      <c r="C749" s="1" t="s">
        <v>247</v>
      </c>
      <c r="D749" s="114">
        <f t="shared" si="142"/>
        <v>13.219999999999999</v>
      </c>
      <c r="E749" s="11">
        <v>4.96</v>
      </c>
      <c r="F749" s="11">
        <v>8.26</v>
      </c>
      <c r="G749" s="15">
        <v>55.947136563876654</v>
      </c>
      <c r="H749" s="15">
        <v>89</v>
      </c>
      <c r="I749" s="12">
        <f t="shared" si="143"/>
        <v>2</v>
      </c>
      <c r="J749" s="12" t="str">
        <f t="shared" si="144"/>
        <v>Đạt</v>
      </c>
      <c r="K749" s="10"/>
      <c r="L749" s="96">
        <f t="shared" si="139"/>
        <v>13.3</v>
      </c>
      <c r="M749" s="10">
        <v>5</v>
      </c>
      <c r="N749" s="10">
        <v>8.3000000000000007</v>
      </c>
      <c r="O749" s="15">
        <v>55.947136563876654</v>
      </c>
      <c r="P749" s="97">
        <v>88.970588235294116</v>
      </c>
      <c r="Q749" s="12">
        <f t="shared" si="140"/>
        <v>2</v>
      </c>
      <c r="R749" s="12" t="str">
        <f t="shared" si="141"/>
        <v>Đạt</v>
      </c>
      <c r="S749" s="10"/>
      <c r="T749" s="95"/>
    </row>
    <row r="750" spans="1:21" s="84" customFormat="1" ht="16.5" hidden="1" customHeight="1" x14ac:dyDescent="0.25">
      <c r="A750" s="9" t="s">
        <v>175</v>
      </c>
      <c r="B750" s="1"/>
      <c r="C750" s="1" t="s">
        <v>248</v>
      </c>
      <c r="D750" s="114">
        <f t="shared" si="142"/>
        <v>12.31</v>
      </c>
      <c r="E750" s="11">
        <v>4.62</v>
      </c>
      <c r="F750" s="11">
        <v>7.69</v>
      </c>
      <c r="G750" s="15">
        <v>54.671464747434364</v>
      </c>
      <c r="H750" s="15">
        <v>88</v>
      </c>
      <c r="I750" s="12">
        <f t="shared" si="143"/>
        <v>2</v>
      </c>
      <c r="J750" s="12" t="str">
        <f t="shared" si="144"/>
        <v>Đạt</v>
      </c>
      <c r="K750" s="10"/>
      <c r="L750" s="96">
        <f t="shared" si="139"/>
        <v>12.3</v>
      </c>
      <c r="M750" s="10">
        <v>4.5999999999999996</v>
      </c>
      <c r="N750" s="10">
        <v>7.7</v>
      </c>
      <c r="O750" s="15">
        <v>54.671464747434364</v>
      </c>
      <c r="P750" s="97">
        <v>88</v>
      </c>
      <c r="Q750" s="12">
        <f t="shared" si="140"/>
        <v>2</v>
      </c>
      <c r="R750" s="12" t="str">
        <f t="shared" si="141"/>
        <v>Đạt</v>
      </c>
      <c r="S750" s="10"/>
      <c r="T750" s="95"/>
    </row>
    <row r="751" spans="1:21" s="100" customFormat="1" x14ac:dyDescent="0.25">
      <c r="A751" s="19" t="s">
        <v>387</v>
      </c>
      <c r="B751" s="20" t="s">
        <v>115</v>
      </c>
      <c r="C751" s="20"/>
      <c r="D751" s="22"/>
      <c r="E751" s="104"/>
      <c r="F751" s="104"/>
      <c r="G751" s="22"/>
      <c r="H751" s="22"/>
      <c r="I751" s="22"/>
      <c r="J751" s="22"/>
      <c r="K751" s="90">
        <f>COUNTIF(J752:J763,"Đạt")</f>
        <v>12</v>
      </c>
      <c r="L751" s="98">
        <f t="shared" ref="L751:L773" si="145">M751+N751</f>
        <v>0</v>
      </c>
      <c r="M751" s="21"/>
      <c r="N751" s="21"/>
      <c r="O751" s="22"/>
      <c r="P751" s="99"/>
      <c r="Q751" s="89"/>
      <c r="R751" s="89"/>
      <c r="S751" s="90" t="s">
        <v>1193</v>
      </c>
      <c r="U751" s="84"/>
    </row>
    <row r="752" spans="1:21" s="84" customFormat="1" hidden="1" x14ac:dyDescent="0.25">
      <c r="A752" s="9" t="s">
        <v>148</v>
      </c>
      <c r="B752" s="1"/>
      <c r="C752" s="1" t="s">
        <v>375</v>
      </c>
      <c r="D752" s="12">
        <f t="shared" ref="D752:D763" si="146">E752+F752</f>
        <v>36</v>
      </c>
      <c r="E752" s="83">
        <v>18.399999999999999</v>
      </c>
      <c r="F752" s="83">
        <v>17.600000000000001</v>
      </c>
      <c r="G752" s="12">
        <v>55.000000000000007</v>
      </c>
      <c r="H752" s="12">
        <v>88</v>
      </c>
      <c r="I752" s="12">
        <f>SUM((IF(D752&gt;=16.24,1,0))+(IF(G752&lt;60,1,0))+(IF(H752&lt;90,1,0)))</f>
        <v>3</v>
      </c>
      <c r="J752" s="12" t="str">
        <f>IF(I752&gt;=2,"Đạt","Không đạt")</f>
        <v>Đạt</v>
      </c>
      <c r="K752" s="10"/>
      <c r="L752" s="96">
        <f t="shared" si="145"/>
        <v>36</v>
      </c>
      <c r="M752" s="10">
        <v>18.399999999999999</v>
      </c>
      <c r="N752" s="10">
        <v>17.600000000000001</v>
      </c>
      <c r="O752" s="12">
        <v>55.000000000000007</v>
      </c>
      <c r="P752" s="97">
        <v>84.21052631578948</v>
      </c>
      <c r="Q752" s="12">
        <f t="shared" ref="Q752:Q773" si="147">SUM((IF(L752&gt;=16.24,1,0))+(IF(O752&lt;60,1,0))+(IF(P752&lt;90,1,0)))</f>
        <v>3</v>
      </c>
      <c r="R752" s="12" t="str">
        <f t="shared" ref="R752:R773" si="148">IF(Q752&gt;=2,"Đạt","Không đạt")</f>
        <v>Đạt</v>
      </c>
      <c r="S752" s="10"/>
      <c r="T752" s="95"/>
    </row>
    <row r="753" spans="1:21" s="84" customFormat="1" hidden="1" x14ac:dyDescent="0.25">
      <c r="A753" s="9" t="s">
        <v>149</v>
      </c>
      <c r="B753" s="1"/>
      <c r="C753" s="1" t="s">
        <v>376</v>
      </c>
      <c r="D753" s="12">
        <f t="shared" si="146"/>
        <v>55.3</v>
      </c>
      <c r="E753" s="83">
        <v>34.119999999999997</v>
      </c>
      <c r="F753" s="83">
        <v>21.18</v>
      </c>
      <c r="G753" s="12">
        <v>52.7</v>
      </c>
      <c r="H753" s="12">
        <v>83</v>
      </c>
      <c r="I753" s="12">
        <f t="shared" ref="I753:I763" si="149">SUM((IF(D753&gt;=16.24,1,0))+(IF(G753&lt;60,1,0))+(IF(H753&lt;90,1,0)))</f>
        <v>3</v>
      </c>
      <c r="J753" s="12" t="str">
        <f t="shared" ref="J753:J763" si="150">IF(I753&gt;=2,"Đạt","Không đạt")</f>
        <v>Đạt</v>
      </c>
      <c r="K753" s="10"/>
      <c r="L753" s="96">
        <f t="shared" si="145"/>
        <v>55.298000000000002</v>
      </c>
      <c r="M753" s="10">
        <v>34.118000000000002</v>
      </c>
      <c r="N753" s="10">
        <v>21.18</v>
      </c>
      <c r="O753" s="12">
        <v>52.7</v>
      </c>
      <c r="P753" s="97">
        <v>84.21052631578948</v>
      </c>
      <c r="Q753" s="12">
        <f t="shared" si="147"/>
        <v>3</v>
      </c>
      <c r="R753" s="12" t="str">
        <f t="shared" si="148"/>
        <v>Đạt</v>
      </c>
      <c r="S753" s="10"/>
      <c r="T753" s="95"/>
    </row>
    <row r="754" spans="1:21" s="84" customFormat="1" hidden="1" x14ac:dyDescent="0.25">
      <c r="A754" s="9" t="s">
        <v>150</v>
      </c>
      <c r="B754" s="1"/>
      <c r="C754" s="1" t="s">
        <v>377</v>
      </c>
      <c r="D754" s="12">
        <f t="shared" si="146"/>
        <v>62.69</v>
      </c>
      <c r="E754" s="83">
        <v>38.81</v>
      </c>
      <c r="F754" s="83">
        <v>23.88</v>
      </c>
      <c r="G754" s="12">
        <v>5.42</v>
      </c>
      <c r="H754" s="12">
        <v>92</v>
      </c>
      <c r="I754" s="12">
        <f t="shared" si="149"/>
        <v>2</v>
      </c>
      <c r="J754" s="12" t="str">
        <f t="shared" si="150"/>
        <v>Đạt</v>
      </c>
      <c r="K754" s="10"/>
      <c r="L754" s="96">
        <f t="shared" si="145"/>
        <v>62.685999999999993</v>
      </c>
      <c r="M754" s="10">
        <v>38.805999999999997</v>
      </c>
      <c r="N754" s="10">
        <v>23.88</v>
      </c>
      <c r="O754" s="12">
        <v>5.42</v>
      </c>
      <c r="P754" s="97">
        <v>92.307692307692307</v>
      </c>
      <c r="Q754" s="12">
        <f t="shared" si="147"/>
        <v>2</v>
      </c>
      <c r="R754" s="12" t="str">
        <f t="shared" si="148"/>
        <v>Đạt</v>
      </c>
      <c r="S754" s="10"/>
      <c r="T754" s="95"/>
    </row>
    <row r="755" spans="1:21" s="84" customFormat="1" hidden="1" x14ac:dyDescent="0.25">
      <c r="A755" s="9" t="s">
        <v>151</v>
      </c>
      <c r="B755" s="1"/>
      <c r="C755" s="1" t="s">
        <v>378</v>
      </c>
      <c r="D755" s="12">
        <f t="shared" si="146"/>
        <v>46.55</v>
      </c>
      <c r="E755" s="83">
        <v>25.86</v>
      </c>
      <c r="F755" s="83">
        <v>20.69</v>
      </c>
      <c r="G755" s="12">
        <v>10.199999999999999</v>
      </c>
      <c r="H755" s="12">
        <v>78</v>
      </c>
      <c r="I755" s="12">
        <f t="shared" si="149"/>
        <v>3</v>
      </c>
      <c r="J755" s="12" t="str">
        <f t="shared" si="150"/>
        <v>Đạt</v>
      </c>
      <c r="K755" s="10"/>
      <c r="L755" s="96">
        <f t="shared" si="145"/>
        <v>46.552</v>
      </c>
      <c r="M755" s="10">
        <v>25.861999999999998</v>
      </c>
      <c r="N755" s="10">
        <v>20.69</v>
      </c>
      <c r="O755" s="12">
        <v>10.199999999999999</v>
      </c>
      <c r="P755" s="97">
        <v>77.58620689655173</v>
      </c>
      <c r="Q755" s="12">
        <f t="shared" si="147"/>
        <v>3</v>
      </c>
      <c r="R755" s="12" t="str">
        <f t="shared" si="148"/>
        <v>Đạt</v>
      </c>
      <c r="S755" s="10"/>
      <c r="T755" s="95"/>
    </row>
    <row r="756" spans="1:21" s="84" customFormat="1" hidden="1" x14ac:dyDescent="0.25">
      <c r="A756" s="9" t="s">
        <v>152</v>
      </c>
      <c r="B756" s="1"/>
      <c r="C756" s="1" t="s">
        <v>379</v>
      </c>
      <c r="D756" s="12">
        <f t="shared" si="146"/>
        <v>43.21</v>
      </c>
      <c r="E756" s="83">
        <v>24.69</v>
      </c>
      <c r="F756" s="83">
        <v>18.52</v>
      </c>
      <c r="G756" s="12">
        <v>0</v>
      </c>
      <c r="H756" s="12">
        <v>86</v>
      </c>
      <c r="I756" s="12">
        <f t="shared" si="149"/>
        <v>3</v>
      </c>
      <c r="J756" s="12" t="str">
        <f t="shared" si="150"/>
        <v>Đạt</v>
      </c>
      <c r="K756" s="10"/>
      <c r="L756" s="96">
        <f t="shared" si="145"/>
        <v>43.210999999999999</v>
      </c>
      <c r="M756" s="10">
        <v>24.690999999999999</v>
      </c>
      <c r="N756" s="10">
        <v>18.52</v>
      </c>
      <c r="O756" s="12">
        <v>0</v>
      </c>
      <c r="P756" s="97">
        <v>86.419753086419746</v>
      </c>
      <c r="Q756" s="12">
        <f t="shared" si="147"/>
        <v>3</v>
      </c>
      <c r="R756" s="12" t="str">
        <f t="shared" si="148"/>
        <v>Đạt</v>
      </c>
      <c r="S756" s="10"/>
      <c r="T756" s="95"/>
    </row>
    <row r="757" spans="1:21" s="84" customFormat="1" hidden="1" x14ac:dyDescent="0.25">
      <c r="A757" s="9" t="s">
        <v>153</v>
      </c>
      <c r="B757" s="1"/>
      <c r="C757" s="1" t="s">
        <v>380</v>
      </c>
      <c r="D757" s="12">
        <f t="shared" si="146"/>
        <v>53.959999999999994</v>
      </c>
      <c r="E757" s="83">
        <v>33.33</v>
      </c>
      <c r="F757" s="83">
        <v>20.63</v>
      </c>
      <c r="G757" s="12">
        <v>51.300000000000004</v>
      </c>
      <c r="H757" s="12">
        <v>90</v>
      </c>
      <c r="I757" s="12">
        <f t="shared" si="149"/>
        <v>2</v>
      </c>
      <c r="J757" s="12" t="str">
        <f t="shared" si="150"/>
        <v>Đạt</v>
      </c>
      <c r="K757" s="10"/>
      <c r="L757" s="96">
        <f t="shared" si="145"/>
        <v>53.962999999999994</v>
      </c>
      <c r="M757" s="10">
        <v>33.332999999999998</v>
      </c>
      <c r="N757" s="10">
        <v>20.63</v>
      </c>
      <c r="O757" s="12">
        <v>51.300000000000004</v>
      </c>
      <c r="P757" s="97">
        <v>90.476190476190482</v>
      </c>
      <c r="Q757" s="12">
        <f t="shared" si="147"/>
        <v>2</v>
      </c>
      <c r="R757" s="12" t="str">
        <f t="shared" si="148"/>
        <v>Đạt</v>
      </c>
      <c r="S757" s="10"/>
      <c r="T757" s="95"/>
    </row>
    <row r="758" spans="1:21" s="84" customFormat="1" hidden="1" x14ac:dyDescent="0.25">
      <c r="A758" s="9" t="s">
        <v>154</v>
      </c>
      <c r="B758" s="1"/>
      <c r="C758" s="1" t="s">
        <v>381</v>
      </c>
      <c r="D758" s="12">
        <f t="shared" si="146"/>
        <v>51.72</v>
      </c>
      <c r="E758" s="83">
        <v>34.479999999999997</v>
      </c>
      <c r="F758" s="83">
        <v>17.239999999999998</v>
      </c>
      <c r="G758" s="12">
        <v>46</v>
      </c>
      <c r="H758" s="12">
        <v>84</v>
      </c>
      <c r="I758" s="12">
        <f t="shared" si="149"/>
        <v>3</v>
      </c>
      <c r="J758" s="12" t="str">
        <f t="shared" si="150"/>
        <v>Đạt</v>
      </c>
      <c r="K758" s="10"/>
      <c r="L758" s="96">
        <f t="shared" si="145"/>
        <v>51.722999999999999</v>
      </c>
      <c r="M758" s="10">
        <v>34.482999999999997</v>
      </c>
      <c r="N758" s="10">
        <v>17.239999999999998</v>
      </c>
      <c r="O758" s="12">
        <v>46</v>
      </c>
      <c r="P758" s="97">
        <v>84.21052631578948</v>
      </c>
      <c r="Q758" s="12">
        <f t="shared" si="147"/>
        <v>3</v>
      </c>
      <c r="R758" s="12" t="str">
        <f t="shared" si="148"/>
        <v>Đạt</v>
      </c>
      <c r="S758" s="10"/>
      <c r="T758" s="95"/>
    </row>
    <row r="759" spans="1:21" s="84" customFormat="1" hidden="1" x14ac:dyDescent="0.25">
      <c r="A759" s="9" t="s">
        <v>155</v>
      </c>
      <c r="B759" s="1"/>
      <c r="C759" s="1" t="s">
        <v>382</v>
      </c>
      <c r="D759" s="12">
        <f t="shared" si="146"/>
        <v>63.63</v>
      </c>
      <c r="E759" s="83">
        <v>45.45</v>
      </c>
      <c r="F759" s="83">
        <v>18.18</v>
      </c>
      <c r="G759" s="12">
        <v>20.100000000000001</v>
      </c>
      <c r="H759" s="12">
        <v>106</v>
      </c>
      <c r="I759" s="12">
        <f t="shared" si="149"/>
        <v>2</v>
      </c>
      <c r="J759" s="12" t="str">
        <f t="shared" si="150"/>
        <v>Đạt</v>
      </c>
      <c r="K759" s="10"/>
      <c r="L759" s="96">
        <f t="shared" si="145"/>
        <v>63.634999999999998</v>
      </c>
      <c r="M759" s="10">
        <v>45.454999999999998</v>
      </c>
      <c r="N759" s="10">
        <v>18.18</v>
      </c>
      <c r="O759" s="12">
        <v>20.100000000000001</v>
      </c>
      <c r="P759" s="97">
        <v>90.566037735849051</v>
      </c>
      <c r="Q759" s="12">
        <f t="shared" si="147"/>
        <v>2</v>
      </c>
      <c r="R759" s="12" t="str">
        <f t="shared" si="148"/>
        <v>Đạt</v>
      </c>
      <c r="S759" s="10"/>
      <c r="T759" s="95"/>
    </row>
    <row r="760" spans="1:21" s="84" customFormat="1" ht="30" x14ac:dyDescent="0.25">
      <c r="A760" s="9" t="s">
        <v>156</v>
      </c>
      <c r="B760" s="1"/>
      <c r="C760" s="1" t="s">
        <v>383</v>
      </c>
      <c r="D760" s="12">
        <f t="shared" si="146"/>
        <v>13.46</v>
      </c>
      <c r="E760" s="83">
        <v>7.69</v>
      </c>
      <c r="F760" s="83">
        <v>5.77</v>
      </c>
      <c r="G760" s="12">
        <v>53.6</v>
      </c>
      <c r="H760" s="12">
        <v>89</v>
      </c>
      <c r="I760" s="12">
        <f>SUM((IF(D760&gt;=16.24,1,0))+(IF(G760&lt;60,1,0))+(IF(H760&lt;90,1,0)))</f>
        <v>2</v>
      </c>
      <c r="J760" s="12" t="str">
        <f t="shared" si="150"/>
        <v>Đạt</v>
      </c>
      <c r="K760" s="10"/>
      <c r="L760" s="96">
        <f t="shared" si="145"/>
        <v>13.177</v>
      </c>
      <c r="M760" s="10">
        <v>7.407</v>
      </c>
      <c r="N760" s="10">
        <v>5.77</v>
      </c>
      <c r="O760" s="12">
        <v>53.6</v>
      </c>
      <c r="P760" s="97">
        <v>94.230769230769226</v>
      </c>
      <c r="Q760" s="12">
        <f t="shared" si="147"/>
        <v>1</v>
      </c>
      <c r="R760" s="12" t="str">
        <f t="shared" si="148"/>
        <v>Không đạt</v>
      </c>
      <c r="S760" s="10" t="s">
        <v>1185</v>
      </c>
      <c r="T760" s="95"/>
    </row>
    <row r="761" spans="1:21" s="84" customFormat="1" hidden="1" x14ac:dyDescent="0.25">
      <c r="A761" s="9" t="s">
        <v>157</v>
      </c>
      <c r="B761" s="1"/>
      <c r="C761" s="1" t="s">
        <v>384</v>
      </c>
      <c r="D761" s="12">
        <f t="shared" si="146"/>
        <v>20.75</v>
      </c>
      <c r="E761" s="83">
        <v>14.15</v>
      </c>
      <c r="F761" s="83">
        <v>6.6</v>
      </c>
      <c r="G761" s="12">
        <v>36.4</v>
      </c>
      <c r="H761" s="12">
        <v>91</v>
      </c>
      <c r="I761" s="12">
        <f t="shared" si="149"/>
        <v>2</v>
      </c>
      <c r="J761" s="12" t="str">
        <f t="shared" si="150"/>
        <v>Đạt</v>
      </c>
      <c r="K761" s="10"/>
      <c r="L761" s="96">
        <f t="shared" si="145"/>
        <v>20.750999999999998</v>
      </c>
      <c r="M761" s="10">
        <v>14.151</v>
      </c>
      <c r="N761" s="10">
        <v>6.6</v>
      </c>
      <c r="O761" s="12">
        <v>36.4</v>
      </c>
      <c r="P761" s="97">
        <v>90.566037735849051</v>
      </c>
      <c r="Q761" s="12">
        <f t="shared" si="147"/>
        <v>2</v>
      </c>
      <c r="R761" s="12" t="str">
        <f t="shared" si="148"/>
        <v>Đạt</v>
      </c>
      <c r="S761" s="10"/>
      <c r="T761" s="95"/>
    </row>
    <row r="762" spans="1:21" s="84" customFormat="1" hidden="1" x14ac:dyDescent="0.25">
      <c r="A762" s="9" t="s">
        <v>158</v>
      </c>
      <c r="B762" s="1"/>
      <c r="C762" s="1" t="s">
        <v>385</v>
      </c>
      <c r="D762" s="12">
        <f t="shared" si="146"/>
        <v>19.149999999999999</v>
      </c>
      <c r="E762" s="83">
        <v>12.77</v>
      </c>
      <c r="F762" s="83">
        <v>6.38</v>
      </c>
      <c r="G762" s="12">
        <v>53</v>
      </c>
      <c r="H762" s="12">
        <v>93</v>
      </c>
      <c r="I762" s="12">
        <f t="shared" si="149"/>
        <v>2</v>
      </c>
      <c r="J762" s="12" t="str">
        <f t="shared" si="150"/>
        <v>Đạt</v>
      </c>
      <c r="K762" s="10"/>
      <c r="L762" s="96">
        <f t="shared" si="145"/>
        <v>19.146000000000001</v>
      </c>
      <c r="M762" s="10">
        <v>12.766</v>
      </c>
      <c r="N762" s="10">
        <v>6.38</v>
      </c>
      <c r="O762" s="12">
        <v>53</v>
      </c>
      <c r="P762" s="97">
        <v>93.203883495145632</v>
      </c>
      <c r="Q762" s="12">
        <f t="shared" si="147"/>
        <v>2</v>
      </c>
      <c r="R762" s="12" t="str">
        <f t="shared" si="148"/>
        <v>Đạt</v>
      </c>
      <c r="S762" s="10"/>
      <c r="T762" s="95"/>
    </row>
    <row r="763" spans="1:21" s="84" customFormat="1" hidden="1" x14ac:dyDescent="0.25">
      <c r="A763" s="9" t="s">
        <v>159</v>
      </c>
      <c r="B763" s="1"/>
      <c r="C763" s="1" t="s">
        <v>386</v>
      </c>
      <c r="D763" s="12">
        <f t="shared" si="146"/>
        <v>18.309999999999999</v>
      </c>
      <c r="E763" s="83">
        <v>11.27</v>
      </c>
      <c r="F763" s="83">
        <v>7.04</v>
      </c>
      <c r="G763" s="12">
        <v>59.199999999999996</v>
      </c>
      <c r="H763" s="12">
        <v>91</v>
      </c>
      <c r="I763" s="12">
        <f t="shared" si="149"/>
        <v>2</v>
      </c>
      <c r="J763" s="12" t="str">
        <f t="shared" si="150"/>
        <v>Đạt</v>
      </c>
      <c r="K763" s="10"/>
      <c r="L763" s="96">
        <f t="shared" si="145"/>
        <v>18.308</v>
      </c>
      <c r="M763" s="10">
        <v>11.268000000000001</v>
      </c>
      <c r="N763" s="10">
        <v>7.04</v>
      </c>
      <c r="O763" s="12">
        <v>59.199999999999996</v>
      </c>
      <c r="P763" s="97">
        <v>90.604026845637591</v>
      </c>
      <c r="Q763" s="12">
        <f t="shared" si="147"/>
        <v>2</v>
      </c>
      <c r="R763" s="12" t="str">
        <f t="shared" si="148"/>
        <v>Đạt</v>
      </c>
      <c r="S763" s="10"/>
      <c r="T763" s="95"/>
    </row>
    <row r="764" spans="1:21" s="100" customFormat="1" ht="19.5" customHeight="1" x14ac:dyDescent="0.25">
      <c r="A764" s="19" t="s">
        <v>728</v>
      </c>
      <c r="B764" s="20" t="s">
        <v>113</v>
      </c>
      <c r="C764" s="20"/>
      <c r="D764" s="22"/>
      <c r="E764" s="104"/>
      <c r="F764" s="104"/>
      <c r="G764" s="22"/>
      <c r="H764" s="22"/>
      <c r="I764" s="22"/>
      <c r="J764" s="22"/>
      <c r="K764" s="90">
        <f>COUNTIF(J765:J806,"Đạt")</f>
        <v>15</v>
      </c>
      <c r="L764" s="98">
        <f t="shared" si="145"/>
        <v>0</v>
      </c>
      <c r="M764" s="21"/>
      <c r="N764" s="21"/>
      <c r="O764" s="22"/>
      <c r="P764" s="99"/>
      <c r="Q764" s="89"/>
      <c r="R764" s="89"/>
      <c r="S764" s="90" t="s">
        <v>1192</v>
      </c>
      <c r="U764" s="84"/>
    </row>
    <row r="765" spans="1:21" s="84" customFormat="1" hidden="1" x14ac:dyDescent="0.25">
      <c r="A765" s="9" t="s">
        <v>148</v>
      </c>
      <c r="B765" s="1"/>
      <c r="C765" s="1" t="s">
        <v>266</v>
      </c>
      <c r="D765" s="15">
        <f>E765+F765</f>
        <v>3.7878787878787898</v>
      </c>
      <c r="E765" s="11">
        <v>3.7878787878787898</v>
      </c>
      <c r="F765" s="11">
        <v>0</v>
      </c>
      <c r="G765" s="15">
        <v>100</v>
      </c>
      <c r="H765" s="15">
        <v>100</v>
      </c>
      <c r="I765" s="12">
        <f>SUM((IF(D765&gt;=16.24,1,0))+(IF(G765&lt;60,1,0))+(IF(H765&lt;90,1,0)))</f>
        <v>0</v>
      </c>
      <c r="J765" s="12" t="str">
        <f>IF(I765&gt;=2,"Đạt","Không đạt")</f>
        <v>Không đạt</v>
      </c>
      <c r="K765" s="10"/>
      <c r="L765" s="96">
        <f t="shared" si="145"/>
        <v>3.79</v>
      </c>
      <c r="M765" s="10">
        <v>3.79</v>
      </c>
      <c r="N765" s="10">
        <v>0</v>
      </c>
      <c r="O765" s="15">
        <v>100</v>
      </c>
      <c r="P765" s="97">
        <v>100</v>
      </c>
      <c r="Q765" s="12">
        <f t="shared" si="147"/>
        <v>0</v>
      </c>
      <c r="R765" s="12" t="str">
        <f t="shared" si="148"/>
        <v>Không đạt</v>
      </c>
      <c r="S765" s="10"/>
      <c r="T765" s="95"/>
    </row>
    <row r="766" spans="1:21" s="84" customFormat="1" hidden="1" x14ac:dyDescent="0.25">
      <c r="A766" s="9" t="s">
        <v>149</v>
      </c>
      <c r="B766" s="1"/>
      <c r="C766" s="1" t="s">
        <v>729</v>
      </c>
      <c r="D766" s="12">
        <f t="shared" ref="D766:D806" si="151">E766+F766</f>
        <v>5.7142857142857197</v>
      </c>
      <c r="E766" s="11">
        <v>2.8571428571428599</v>
      </c>
      <c r="F766" s="11">
        <v>2.8571428571428599</v>
      </c>
      <c r="G766" s="15">
        <v>100</v>
      </c>
      <c r="H766" s="15">
        <v>100</v>
      </c>
      <c r="I766" s="12">
        <f t="shared" ref="I766:I806" si="152">SUM((IF(D766&gt;=16.24,1,0))+(IF(G766&lt;60,1,0))+(IF(H766&lt;90,1,0)))</f>
        <v>0</v>
      </c>
      <c r="J766" s="12" t="str">
        <f t="shared" ref="J766:J806" si="153">IF(I766&gt;=2,"Đạt","Không đạt")</f>
        <v>Không đạt</v>
      </c>
      <c r="K766" s="10"/>
      <c r="L766" s="96">
        <f t="shared" si="145"/>
        <v>5.8</v>
      </c>
      <c r="M766" s="10">
        <v>2.9</v>
      </c>
      <c r="N766" s="10">
        <v>2.9</v>
      </c>
      <c r="O766" s="15">
        <v>100</v>
      </c>
      <c r="P766" s="97">
        <v>100</v>
      </c>
      <c r="Q766" s="12">
        <f t="shared" si="147"/>
        <v>0</v>
      </c>
      <c r="R766" s="12" t="str">
        <f t="shared" si="148"/>
        <v>Không đạt</v>
      </c>
      <c r="S766" s="10"/>
      <c r="T766" s="95"/>
    </row>
    <row r="767" spans="1:21" s="84" customFormat="1" hidden="1" x14ac:dyDescent="0.25">
      <c r="A767" s="9" t="s">
        <v>150</v>
      </c>
      <c r="B767" s="1"/>
      <c r="C767" s="1" t="s">
        <v>730</v>
      </c>
      <c r="D767" s="12">
        <f t="shared" si="151"/>
        <v>4.4776119402985097</v>
      </c>
      <c r="E767" s="11">
        <v>2.98507462686567</v>
      </c>
      <c r="F767" s="11">
        <v>1.4925373134328399</v>
      </c>
      <c r="G767" s="15">
        <v>100</v>
      </c>
      <c r="H767" s="15">
        <v>100</v>
      </c>
      <c r="I767" s="12">
        <f t="shared" si="152"/>
        <v>0</v>
      </c>
      <c r="J767" s="12" t="str">
        <f t="shared" si="153"/>
        <v>Không đạt</v>
      </c>
      <c r="K767" s="10"/>
      <c r="L767" s="96">
        <f t="shared" si="145"/>
        <v>4.62</v>
      </c>
      <c r="M767" s="10">
        <v>3.08</v>
      </c>
      <c r="N767" s="10">
        <v>1.54</v>
      </c>
      <c r="O767" s="15">
        <v>100</v>
      </c>
      <c r="P767" s="97">
        <v>100</v>
      </c>
      <c r="Q767" s="12">
        <f t="shared" si="147"/>
        <v>0</v>
      </c>
      <c r="R767" s="12" t="str">
        <f t="shared" si="148"/>
        <v>Không đạt</v>
      </c>
      <c r="S767" s="10"/>
      <c r="T767" s="95"/>
    </row>
    <row r="768" spans="1:21" s="84" customFormat="1" hidden="1" x14ac:dyDescent="0.25">
      <c r="A768" s="9" t="s">
        <v>151</v>
      </c>
      <c r="B768" s="1"/>
      <c r="C768" s="1" t="s">
        <v>421</v>
      </c>
      <c r="D768" s="12">
        <f t="shared" si="151"/>
        <v>1.3071895424836599</v>
      </c>
      <c r="E768" s="11">
        <v>0</v>
      </c>
      <c r="F768" s="11">
        <v>1.3071895424836599</v>
      </c>
      <c r="G768" s="15">
        <v>100</v>
      </c>
      <c r="H768" s="15">
        <v>100</v>
      </c>
      <c r="I768" s="12">
        <f t="shared" si="152"/>
        <v>0</v>
      </c>
      <c r="J768" s="12" t="str">
        <f t="shared" si="153"/>
        <v>Không đạt</v>
      </c>
      <c r="K768" s="10"/>
      <c r="L768" s="96">
        <f t="shared" si="145"/>
        <v>1.39</v>
      </c>
      <c r="M768" s="10">
        <v>0</v>
      </c>
      <c r="N768" s="10">
        <v>1.39</v>
      </c>
      <c r="O768" s="15">
        <v>100</v>
      </c>
      <c r="P768" s="97">
        <v>100</v>
      </c>
      <c r="Q768" s="12">
        <f t="shared" si="147"/>
        <v>0</v>
      </c>
      <c r="R768" s="12" t="str">
        <f t="shared" si="148"/>
        <v>Không đạt</v>
      </c>
      <c r="S768" s="10"/>
      <c r="T768" s="95"/>
    </row>
    <row r="769" spans="1:20" s="84" customFormat="1" hidden="1" x14ac:dyDescent="0.25">
      <c r="A769" s="9" t="s">
        <v>152</v>
      </c>
      <c r="B769" s="1"/>
      <c r="C769" s="1" t="s">
        <v>422</v>
      </c>
      <c r="D769" s="12">
        <f t="shared" si="151"/>
        <v>1.3333333333333339</v>
      </c>
      <c r="E769" s="11">
        <v>0.66666666666666696</v>
      </c>
      <c r="F769" s="11">
        <v>0.66666666666666696</v>
      </c>
      <c r="G769" s="15">
        <v>100</v>
      </c>
      <c r="H769" s="15">
        <v>100</v>
      </c>
      <c r="I769" s="12">
        <f t="shared" si="152"/>
        <v>0</v>
      </c>
      <c r="J769" s="12" t="str">
        <f t="shared" si="153"/>
        <v>Không đạt</v>
      </c>
      <c r="K769" s="10"/>
      <c r="L769" s="96">
        <f t="shared" si="145"/>
        <v>1.44</v>
      </c>
      <c r="M769" s="10">
        <v>0.72</v>
      </c>
      <c r="N769" s="10">
        <v>0.72</v>
      </c>
      <c r="O769" s="15">
        <v>100</v>
      </c>
      <c r="P769" s="97">
        <v>100</v>
      </c>
      <c r="Q769" s="12">
        <f t="shared" si="147"/>
        <v>0</v>
      </c>
      <c r="R769" s="12" t="str">
        <f t="shared" si="148"/>
        <v>Không đạt</v>
      </c>
      <c r="S769" s="10"/>
      <c r="T769" s="95"/>
    </row>
    <row r="770" spans="1:20" s="84" customFormat="1" hidden="1" x14ac:dyDescent="0.25">
      <c r="A770" s="9" t="s">
        <v>153</v>
      </c>
      <c r="B770" s="1"/>
      <c r="C770" s="1" t="s">
        <v>731</v>
      </c>
      <c r="D770" s="12">
        <f t="shared" si="151"/>
        <v>1.3333333333333299</v>
      </c>
      <c r="E770" s="11">
        <v>1.3333333333333299</v>
      </c>
      <c r="F770" s="11">
        <v>0</v>
      </c>
      <c r="G770" s="15">
        <v>100</v>
      </c>
      <c r="H770" s="15">
        <v>100</v>
      </c>
      <c r="I770" s="12">
        <f t="shared" si="152"/>
        <v>0</v>
      </c>
      <c r="J770" s="12" t="str">
        <f t="shared" si="153"/>
        <v>Không đạt</v>
      </c>
      <c r="K770" s="10"/>
      <c r="L770" s="96">
        <f t="shared" si="145"/>
        <v>1.52</v>
      </c>
      <c r="M770" s="10">
        <v>1.52</v>
      </c>
      <c r="N770" s="10">
        <v>0</v>
      </c>
      <c r="O770" s="15">
        <v>100</v>
      </c>
      <c r="P770" s="97">
        <v>100</v>
      </c>
      <c r="Q770" s="12">
        <f t="shared" si="147"/>
        <v>0</v>
      </c>
      <c r="R770" s="12" t="str">
        <f t="shared" si="148"/>
        <v>Không đạt</v>
      </c>
      <c r="S770" s="10"/>
      <c r="T770" s="95"/>
    </row>
    <row r="771" spans="1:20" s="84" customFormat="1" hidden="1" x14ac:dyDescent="0.25">
      <c r="A771" s="9" t="s">
        <v>154</v>
      </c>
      <c r="B771" s="1"/>
      <c r="C771" s="1" t="s">
        <v>732</v>
      </c>
      <c r="D771" s="12">
        <f t="shared" si="151"/>
        <v>0</v>
      </c>
      <c r="E771" s="11">
        <v>0</v>
      </c>
      <c r="F771" s="11">
        <v>0</v>
      </c>
      <c r="G771" s="15">
        <v>100</v>
      </c>
      <c r="H771" s="15">
        <v>100</v>
      </c>
      <c r="I771" s="12">
        <f t="shared" si="152"/>
        <v>0</v>
      </c>
      <c r="J771" s="12" t="str">
        <f t="shared" si="153"/>
        <v>Không đạt</v>
      </c>
      <c r="K771" s="10"/>
      <c r="L771" s="96">
        <f t="shared" si="145"/>
        <v>0</v>
      </c>
      <c r="M771" s="10">
        <v>0</v>
      </c>
      <c r="N771" s="10">
        <v>0</v>
      </c>
      <c r="O771" s="15">
        <v>100</v>
      </c>
      <c r="P771" s="97">
        <v>100</v>
      </c>
      <c r="Q771" s="12">
        <f t="shared" si="147"/>
        <v>0</v>
      </c>
      <c r="R771" s="12" t="str">
        <f t="shared" si="148"/>
        <v>Không đạt</v>
      </c>
      <c r="S771" s="10"/>
      <c r="T771" s="95"/>
    </row>
    <row r="772" spans="1:20" s="84" customFormat="1" hidden="1" x14ac:dyDescent="0.25">
      <c r="A772" s="9" t="s">
        <v>155</v>
      </c>
      <c r="B772" s="1"/>
      <c r="C772" s="1" t="s">
        <v>733</v>
      </c>
      <c r="D772" s="12">
        <f t="shared" si="151"/>
        <v>0.53763440860215095</v>
      </c>
      <c r="E772" s="11">
        <v>0.53763440860215095</v>
      </c>
      <c r="F772" s="11">
        <v>0</v>
      </c>
      <c r="G772" s="15">
        <v>100</v>
      </c>
      <c r="H772" s="15">
        <v>100</v>
      </c>
      <c r="I772" s="12">
        <f t="shared" si="152"/>
        <v>0</v>
      </c>
      <c r="J772" s="12" t="str">
        <f t="shared" si="153"/>
        <v>Không đạt</v>
      </c>
      <c r="K772" s="10"/>
      <c r="L772" s="96">
        <f t="shared" si="145"/>
        <v>1.18</v>
      </c>
      <c r="M772" s="10">
        <v>1.18</v>
      </c>
      <c r="N772" s="10">
        <v>0</v>
      </c>
      <c r="O772" s="15">
        <v>100</v>
      </c>
      <c r="P772" s="97">
        <v>100</v>
      </c>
      <c r="Q772" s="12">
        <f t="shared" si="147"/>
        <v>0</v>
      </c>
      <c r="R772" s="12" t="str">
        <f t="shared" si="148"/>
        <v>Không đạt</v>
      </c>
      <c r="S772" s="10"/>
      <c r="T772" s="95"/>
    </row>
    <row r="773" spans="1:20" s="84" customFormat="1" hidden="1" x14ac:dyDescent="0.25">
      <c r="A773" s="9" t="s">
        <v>156</v>
      </c>
      <c r="B773" s="1"/>
      <c r="C773" s="1" t="s">
        <v>734</v>
      </c>
      <c r="D773" s="12">
        <f t="shared" si="151"/>
        <v>0.81967213114754101</v>
      </c>
      <c r="E773" s="11">
        <v>0.81967213114754101</v>
      </c>
      <c r="F773" s="11">
        <v>0</v>
      </c>
      <c r="G773" s="15">
        <v>100</v>
      </c>
      <c r="H773" s="15">
        <v>100</v>
      </c>
      <c r="I773" s="12">
        <f t="shared" si="152"/>
        <v>0</v>
      </c>
      <c r="J773" s="12" t="str">
        <f t="shared" si="153"/>
        <v>Không đạt</v>
      </c>
      <c r="K773" s="10"/>
      <c r="L773" s="96">
        <f t="shared" si="145"/>
        <v>0</v>
      </c>
      <c r="M773" s="10">
        <v>0</v>
      </c>
      <c r="N773" s="10">
        <v>0</v>
      </c>
      <c r="O773" s="15">
        <v>100</v>
      </c>
      <c r="P773" s="97">
        <v>100</v>
      </c>
      <c r="Q773" s="12">
        <f t="shared" si="147"/>
        <v>0</v>
      </c>
      <c r="R773" s="12" t="str">
        <f t="shared" si="148"/>
        <v>Không đạt</v>
      </c>
      <c r="S773" s="10"/>
      <c r="T773" s="95"/>
    </row>
    <row r="774" spans="1:20" s="84" customFormat="1" hidden="1" x14ac:dyDescent="0.25">
      <c r="A774" s="9" t="s">
        <v>157</v>
      </c>
      <c r="B774" s="1"/>
      <c r="C774" s="1" t="s">
        <v>735</v>
      </c>
      <c r="D774" s="12">
        <f t="shared" si="151"/>
        <v>1.8518518518518541</v>
      </c>
      <c r="E774" s="11">
        <v>0.61728395061728403</v>
      </c>
      <c r="F774" s="11">
        <v>1.2345679012345701</v>
      </c>
      <c r="G774" s="15">
        <v>100</v>
      </c>
      <c r="H774" s="15">
        <v>100</v>
      </c>
      <c r="I774" s="12">
        <f t="shared" si="152"/>
        <v>0</v>
      </c>
      <c r="J774" s="12" t="str">
        <f t="shared" si="153"/>
        <v>Không đạt</v>
      </c>
      <c r="K774" s="10"/>
      <c r="L774" s="96">
        <f t="shared" ref="L774:L806" si="154">M774+N774</f>
        <v>1.85</v>
      </c>
      <c r="M774" s="10">
        <v>0.62</v>
      </c>
      <c r="N774" s="10">
        <v>1.23</v>
      </c>
      <c r="O774" s="15">
        <v>100</v>
      </c>
      <c r="P774" s="97">
        <v>100</v>
      </c>
      <c r="Q774" s="12">
        <f t="shared" ref="Q774:Q806" si="155">SUM((IF(L774&gt;=16.24,1,0))+(IF(O774&lt;60,1,0))+(IF(P774&lt;90,1,0)))</f>
        <v>0</v>
      </c>
      <c r="R774" s="12" t="str">
        <f t="shared" ref="R774:R806" si="156">IF(Q774&gt;=2,"Đạt","Không đạt")</f>
        <v>Không đạt</v>
      </c>
      <c r="S774" s="10"/>
      <c r="T774" s="95"/>
    </row>
    <row r="775" spans="1:20" s="84" customFormat="1" hidden="1" x14ac:dyDescent="0.25">
      <c r="A775" s="9" t="s">
        <v>158</v>
      </c>
      <c r="B775" s="1"/>
      <c r="C775" s="1" t="s">
        <v>423</v>
      </c>
      <c r="D775" s="12">
        <f t="shared" si="151"/>
        <v>1.4285714285714279</v>
      </c>
      <c r="E775" s="11">
        <v>0.476190476190476</v>
      </c>
      <c r="F775" s="11">
        <v>0.952380952380952</v>
      </c>
      <c r="G775" s="15">
        <v>100</v>
      </c>
      <c r="H775" s="15">
        <v>100</v>
      </c>
      <c r="I775" s="12">
        <f t="shared" si="152"/>
        <v>0</v>
      </c>
      <c r="J775" s="12" t="str">
        <f t="shared" si="153"/>
        <v>Không đạt</v>
      </c>
      <c r="K775" s="10"/>
      <c r="L775" s="96">
        <f t="shared" si="154"/>
        <v>1.46</v>
      </c>
      <c r="M775" s="10">
        <v>0.49</v>
      </c>
      <c r="N775" s="10">
        <v>0.97</v>
      </c>
      <c r="O775" s="15">
        <v>100</v>
      </c>
      <c r="P775" s="97">
        <v>100</v>
      </c>
      <c r="Q775" s="12">
        <f t="shared" si="155"/>
        <v>0</v>
      </c>
      <c r="R775" s="12" t="str">
        <f t="shared" si="156"/>
        <v>Không đạt</v>
      </c>
      <c r="S775" s="10"/>
      <c r="T775" s="95"/>
    </row>
    <row r="776" spans="1:20" s="84" customFormat="1" hidden="1" x14ac:dyDescent="0.25">
      <c r="A776" s="9" t="s">
        <v>159</v>
      </c>
      <c r="B776" s="1"/>
      <c r="C776" s="1" t="s">
        <v>324</v>
      </c>
      <c r="D776" s="12">
        <f t="shared" si="151"/>
        <v>0.35460992907801397</v>
      </c>
      <c r="E776" s="11">
        <v>0</v>
      </c>
      <c r="F776" s="11">
        <v>0.35460992907801397</v>
      </c>
      <c r="G776" s="15">
        <v>100</v>
      </c>
      <c r="H776" s="15">
        <v>100</v>
      </c>
      <c r="I776" s="12">
        <f t="shared" si="152"/>
        <v>0</v>
      </c>
      <c r="J776" s="12" t="str">
        <f t="shared" si="153"/>
        <v>Không đạt</v>
      </c>
      <c r="K776" s="10"/>
      <c r="L776" s="96">
        <f t="shared" si="154"/>
        <v>0.39</v>
      </c>
      <c r="M776" s="10">
        <v>0</v>
      </c>
      <c r="N776" s="10">
        <v>0.39</v>
      </c>
      <c r="O776" s="15">
        <v>100</v>
      </c>
      <c r="P776" s="97">
        <v>100</v>
      </c>
      <c r="Q776" s="12">
        <f t="shared" si="155"/>
        <v>0</v>
      </c>
      <c r="R776" s="12" t="str">
        <f t="shared" si="156"/>
        <v>Không đạt</v>
      </c>
      <c r="S776" s="10"/>
      <c r="T776" s="95"/>
    </row>
    <row r="777" spans="1:20" s="84" customFormat="1" hidden="1" x14ac:dyDescent="0.25">
      <c r="A777" s="9" t="s">
        <v>160</v>
      </c>
      <c r="B777" s="1"/>
      <c r="C777" s="1" t="s">
        <v>325</v>
      </c>
      <c r="D777" s="12">
        <f t="shared" si="151"/>
        <v>1.5625</v>
      </c>
      <c r="E777" s="11">
        <v>1.5625</v>
      </c>
      <c r="F777" s="11">
        <v>0</v>
      </c>
      <c r="G777" s="15">
        <v>100</v>
      </c>
      <c r="H777" s="15">
        <v>100</v>
      </c>
      <c r="I777" s="12">
        <f t="shared" si="152"/>
        <v>0</v>
      </c>
      <c r="J777" s="12" t="str">
        <f t="shared" si="153"/>
        <v>Không đạt</v>
      </c>
      <c r="K777" s="10"/>
      <c r="L777" s="96">
        <f t="shared" si="154"/>
        <v>1.59</v>
      </c>
      <c r="M777" s="10">
        <v>1.59</v>
      </c>
      <c r="N777" s="10">
        <v>0</v>
      </c>
      <c r="O777" s="15">
        <v>100</v>
      </c>
      <c r="P777" s="97">
        <v>100</v>
      </c>
      <c r="Q777" s="12">
        <f t="shared" si="155"/>
        <v>0</v>
      </c>
      <c r="R777" s="12" t="str">
        <f t="shared" si="156"/>
        <v>Không đạt</v>
      </c>
      <c r="S777" s="10"/>
      <c r="T777" s="95"/>
    </row>
    <row r="778" spans="1:20" s="84" customFormat="1" hidden="1" x14ac:dyDescent="0.25">
      <c r="A778" s="9" t="s">
        <v>161</v>
      </c>
      <c r="B778" s="1"/>
      <c r="C778" s="1" t="s">
        <v>736</v>
      </c>
      <c r="D778" s="12">
        <f t="shared" si="151"/>
        <v>1.5873015873015888</v>
      </c>
      <c r="E778" s="11">
        <v>1.0582010582010599</v>
      </c>
      <c r="F778" s="11">
        <v>0.52910052910052896</v>
      </c>
      <c r="G778" s="15">
        <v>100</v>
      </c>
      <c r="H778" s="15">
        <v>100</v>
      </c>
      <c r="I778" s="12">
        <f t="shared" si="152"/>
        <v>0</v>
      </c>
      <c r="J778" s="12" t="str">
        <f t="shared" si="153"/>
        <v>Không đạt</v>
      </c>
      <c r="K778" s="10"/>
      <c r="L778" s="96">
        <f t="shared" si="154"/>
        <v>1.62</v>
      </c>
      <c r="M778" s="10">
        <v>1.08</v>
      </c>
      <c r="N778" s="10">
        <v>0.54</v>
      </c>
      <c r="O778" s="15">
        <v>100</v>
      </c>
      <c r="P778" s="97">
        <v>100</v>
      </c>
      <c r="Q778" s="12">
        <f t="shared" si="155"/>
        <v>0</v>
      </c>
      <c r="R778" s="12" t="str">
        <f t="shared" si="156"/>
        <v>Không đạt</v>
      </c>
      <c r="S778" s="10"/>
      <c r="T778" s="95"/>
    </row>
    <row r="779" spans="1:20" s="84" customFormat="1" hidden="1" x14ac:dyDescent="0.25">
      <c r="A779" s="9" t="s">
        <v>162</v>
      </c>
      <c r="B779" s="1"/>
      <c r="C779" s="1" t="s">
        <v>737</v>
      </c>
      <c r="D779" s="12">
        <f t="shared" si="151"/>
        <v>1.4925373134328361</v>
      </c>
      <c r="E779" s="11">
        <v>0.99502487562189101</v>
      </c>
      <c r="F779" s="11">
        <v>0.49751243781094501</v>
      </c>
      <c r="G779" s="15">
        <v>100</v>
      </c>
      <c r="H779" s="15">
        <v>100</v>
      </c>
      <c r="I779" s="12">
        <f t="shared" si="152"/>
        <v>0</v>
      </c>
      <c r="J779" s="12" t="str">
        <f t="shared" si="153"/>
        <v>Không đạt</v>
      </c>
      <c r="K779" s="10"/>
      <c r="L779" s="96">
        <f t="shared" si="154"/>
        <v>1.53</v>
      </c>
      <c r="M779" s="10">
        <v>1.02</v>
      </c>
      <c r="N779" s="10">
        <v>0.51</v>
      </c>
      <c r="O779" s="15">
        <v>100</v>
      </c>
      <c r="P779" s="97">
        <v>100</v>
      </c>
      <c r="Q779" s="12">
        <f t="shared" si="155"/>
        <v>0</v>
      </c>
      <c r="R779" s="12" t="str">
        <f t="shared" si="156"/>
        <v>Không đạt</v>
      </c>
      <c r="S779" s="10"/>
      <c r="T779" s="95"/>
    </row>
    <row r="780" spans="1:20" s="84" customFormat="1" hidden="1" x14ac:dyDescent="0.25">
      <c r="A780" s="9" t="s">
        <v>163</v>
      </c>
      <c r="B780" s="1"/>
      <c r="C780" s="1" t="s">
        <v>738</v>
      </c>
      <c r="D780" s="12">
        <f t="shared" si="151"/>
        <v>8.4507042253521192</v>
      </c>
      <c r="E780" s="11">
        <v>4.2253521126760596</v>
      </c>
      <c r="F780" s="11">
        <v>4.2253521126760596</v>
      </c>
      <c r="G780" s="15">
        <v>100</v>
      </c>
      <c r="H780" s="15">
        <v>100</v>
      </c>
      <c r="I780" s="12">
        <f t="shared" si="152"/>
        <v>0</v>
      </c>
      <c r="J780" s="12" t="str">
        <f t="shared" si="153"/>
        <v>Không đạt</v>
      </c>
      <c r="K780" s="10"/>
      <c r="L780" s="96">
        <f t="shared" si="154"/>
        <v>8.58</v>
      </c>
      <c r="M780" s="10">
        <v>4.29</v>
      </c>
      <c r="N780" s="10">
        <v>4.29</v>
      </c>
      <c r="O780" s="15">
        <v>100</v>
      </c>
      <c r="P780" s="97">
        <v>100</v>
      </c>
      <c r="Q780" s="12">
        <f t="shared" si="155"/>
        <v>0</v>
      </c>
      <c r="R780" s="12" t="str">
        <f t="shared" si="156"/>
        <v>Không đạt</v>
      </c>
      <c r="S780" s="10"/>
      <c r="T780" s="95"/>
    </row>
    <row r="781" spans="1:20" s="84" customFormat="1" ht="30" x14ac:dyDescent="0.25">
      <c r="A781" s="9" t="s">
        <v>164</v>
      </c>
      <c r="B781" s="1"/>
      <c r="C781" s="1" t="s">
        <v>739</v>
      </c>
      <c r="D781" s="12">
        <f t="shared" si="151"/>
        <v>6.7961165048543606</v>
      </c>
      <c r="E781" s="11">
        <v>1.94174757281553</v>
      </c>
      <c r="F781" s="11">
        <v>4.8543689320388301</v>
      </c>
      <c r="G781" s="15">
        <v>55.800000000000004</v>
      </c>
      <c r="H781" s="15">
        <v>89.32</v>
      </c>
      <c r="I781" s="12">
        <f t="shared" si="152"/>
        <v>2</v>
      </c>
      <c r="J781" s="12" t="str">
        <f t="shared" si="153"/>
        <v>Đạt</v>
      </c>
      <c r="K781" s="10"/>
      <c r="L781" s="96">
        <f t="shared" si="154"/>
        <v>6.93</v>
      </c>
      <c r="M781" s="10">
        <v>1.98</v>
      </c>
      <c r="N781" s="10">
        <v>4.95</v>
      </c>
      <c r="O781" s="15">
        <v>55.800000000000004</v>
      </c>
      <c r="P781" s="97">
        <v>100</v>
      </c>
      <c r="Q781" s="12">
        <f t="shared" si="155"/>
        <v>1</v>
      </c>
      <c r="R781" s="12" t="str">
        <f t="shared" si="156"/>
        <v>Không đạt</v>
      </c>
      <c r="S781" s="10" t="s">
        <v>1185</v>
      </c>
      <c r="T781" s="95"/>
    </row>
    <row r="782" spans="1:20" s="84" customFormat="1" hidden="1" x14ac:dyDescent="0.25">
      <c r="A782" s="9" t="s">
        <v>165</v>
      </c>
      <c r="B782" s="1"/>
      <c r="C782" s="1" t="s">
        <v>740</v>
      </c>
      <c r="D782" s="12">
        <f t="shared" si="151"/>
        <v>5.9405940594059397</v>
      </c>
      <c r="E782" s="11">
        <v>1.98019801980198</v>
      </c>
      <c r="F782" s="11">
        <v>3.9603960396039599</v>
      </c>
      <c r="G782" s="15">
        <v>67.5</v>
      </c>
      <c r="H782" s="15">
        <v>100</v>
      </c>
      <c r="I782" s="12">
        <f t="shared" si="152"/>
        <v>0</v>
      </c>
      <c r="J782" s="12" t="str">
        <f t="shared" si="153"/>
        <v>Không đạt</v>
      </c>
      <c r="K782" s="10"/>
      <c r="L782" s="96">
        <f t="shared" si="154"/>
        <v>6.0600000000000005</v>
      </c>
      <c r="M782" s="10">
        <v>2.02</v>
      </c>
      <c r="N782" s="10">
        <v>4.04</v>
      </c>
      <c r="O782" s="15">
        <v>67.5</v>
      </c>
      <c r="P782" s="97">
        <v>100</v>
      </c>
      <c r="Q782" s="12">
        <f t="shared" si="155"/>
        <v>0</v>
      </c>
      <c r="R782" s="12" t="str">
        <f t="shared" si="156"/>
        <v>Không đạt</v>
      </c>
      <c r="S782" s="10"/>
      <c r="T782" s="95"/>
    </row>
    <row r="783" spans="1:20" s="84" customFormat="1" hidden="1" x14ac:dyDescent="0.25">
      <c r="A783" s="9" t="s">
        <v>166</v>
      </c>
      <c r="B783" s="1"/>
      <c r="C783" s="1" t="s">
        <v>741</v>
      </c>
      <c r="D783" s="12">
        <f t="shared" si="151"/>
        <v>6.6666666666666696</v>
      </c>
      <c r="E783" s="11">
        <v>2.8571428571428599</v>
      </c>
      <c r="F783" s="11">
        <v>3.8095238095238102</v>
      </c>
      <c r="G783" s="15">
        <v>81.2</v>
      </c>
      <c r="H783" s="15">
        <v>100</v>
      </c>
      <c r="I783" s="12">
        <f t="shared" si="152"/>
        <v>0</v>
      </c>
      <c r="J783" s="12" t="str">
        <f t="shared" si="153"/>
        <v>Không đạt</v>
      </c>
      <c r="K783" s="10"/>
      <c r="L783" s="96">
        <f t="shared" si="154"/>
        <v>6.8599999999999994</v>
      </c>
      <c r="M783" s="10">
        <v>2.94</v>
      </c>
      <c r="N783" s="10">
        <v>3.92</v>
      </c>
      <c r="O783" s="15">
        <v>81.2</v>
      </c>
      <c r="P783" s="97">
        <v>100</v>
      </c>
      <c r="Q783" s="12">
        <f t="shared" si="155"/>
        <v>0</v>
      </c>
      <c r="R783" s="12" t="str">
        <f t="shared" si="156"/>
        <v>Không đạt</v>
      </c>
      <c r="S783" s="10"/>
      <c r="T783" s="95"/>
    </row>
    <row r="784" spans="1:20" s="84" customFormat="1" hidden="1" x14ac:dyDescent="0.25">
      <c r="A784" s="9" t="s">
        <v>167</v>
      </c>
      <c r="B784" s="1"/>
      <c r="C784" s="1" t="s">
        <v>742</v>
      </c>
      <c r="D784" s="12">
        <f t="shared" si="151"/>
        <v>4.1666666666666599</v>
      </c>
      <c r="E784" s="11">
        <v>2.0833333333333299</v>
      </c>
      <c r="F784" s="11">
        <v>2.0833333333333299</v>
      </c>
      <c r="G784" s="15">
        <v>100</v>
      </c>
      <c r="H784" s="15">
        <v>100</v>
      </c>
      <c r="I784" s="12">
        <f t="shared" si="152"/>
        <v>0</v>
      </c>
      <c r="J784" s="12" t="str">
        <f t="shared" si="153"/>
        <v>Không đạt</v>
      </c>
      <c r="K784" s="10"/>
      <c r="L784" s="96">
        <f t="shared" si="154"/>
        <v>5.15</v>
      </c>
      <c r="M784" s="10">
        <v>3.09</v>
      </c>
      <c r="N784" s="10">
        <v>2.06</v>
      </c>
      <c r="O784" s="15">
        <v>100</v>
      </c>
      <c r="P784" s="97">
        <v>100</v>
      </c>
      <c r="Q784" s="12">
        <f t="shared" si="155"/>
        <v>0</v>
      </c>
      <c r="R784" s="12" t="str">
        <f t="shared" si="156"/>
        <v>Không đạt</v>
      </c>
      <c r="S784" s="10"/>
      <c r="T784" s="95"/>
    </row>
    <row r="785" spans="1:20" s="84" customFormat="1" hidden="1" x14ac:dyDescent="0.25">
      <c r="A785" s="9" t="s">
        <v>168</v>
      </c>
      <c r="B785" s="1"/>
      <c r="C785" s="1" t="s">
        <v>743</v>
      </c>
      <c r="D785" s="12">
        <f t="shared" si="151"/>
        <v>4.0650406504065</v>
      </c>
      <c r="E785" s="11">
        <v>1.6260162601626</v>
      </c>
      <c r="F785" s="11">
        <v>2.4390243902439002</v>
      </c>
      <c r="G785" s="15">
        <v>100</v>
      </c>
      <c r="H785" s="15">
        <v>100</v>
      </c>
      <c r="I785" s="12">
        <f t="shared" si="152"/>
        <v>0</v>
      </c>
      <c r="J785" s="12" t="str">
        <f t="shared" si="153"/>
        <v>Không đạt</v>
      </c>
      <c r="K785" s="10"/>
      <c r="L785" s="96">
        <f t="shared" si="154"/>
        <v>3.51</v>
      </c>
      <c r="M785" s="10">
        <v>0.88</v>
      </c>
      <c r="N785" s="10">
        <v>2.63</v>
      </c>
      <c r="O785" s="15">
        <v>100</v>
      </c>
      <c r="P785" s="97">
        <v>100</v>
      </c>
      <c r="Q785" s="12">
        <f t="shared" si="155"/>
        <v>0</v>
      </c>
      <c r="R785" s="12" t="str">
        <f t="shared" si="156"/>
        <v>Không đạt</v>
      </c>
      <c r="S785" s="10"/>
      <c r="T785" s="95"/>
    </row>
    <row r="786" spans="1:20" s="84" customFormat="1" hidden="1" x14ac:dyDescent="0.25">
      <c r="A786" s="9" t="s">
        <v>169</v>
      </c>
      <c r="B786" s="1"/>
      <c r="C786" s="1" t="s">
        <v>744</v>
      </c>
      <c r="D786" s="12">
        <f t="shared" si="151"/>
        <v>7.1428571428571406</v>
      </c>
      <c r="E786" s="11">
        <v>2.38095238095238</v>
      </c>
      <c r="F786" s="11">
        <v>4.7619047619047601</v>
      </c>
      <c r="G786" s="15">
        <v>100</v>
      </c>
      <c r="H786" s="15">
        <v>100</v>
      </c>
      <c r="I786" s="12">
        <f t="shared" si="152"/>
        <v>0</v>
      </c>
      <c r="J786" s="12" t="str">
        <f t="shared" si="153"/>
        <v>Không đạt</v>
      </c>
      <c r="K786" s="10"/>
      <c r="L786" s="96">
        <f t="shared" si="154"/>
        <v>7.32</v>
      </c>
      <c r="M786" s="10">
        <v>2.44</v>
      </c>
      <c r="N786" s="10">
        <v>4.88</v>
      </c>
      <c r="O786" s="15">
        <v>100</v>
      </c>
      <c r="P786" s="97">
        <v>100</v>
      </c>
      <c r="Q786" s="12">
        <f t="shared" si="155"/>
        <v>0</v>
      </c>
      <c r="R786" s="12" t="str">
        <f t="shared" si="156"/>
        <v>Không đạt</v>
      </c>
      <c r="S786" s="10"/>
      <c r="T786" s="95"/>
    </row>
    <row r="787" spans="1:20" s="84" customFormat="1" hidden="1" x14ac:dyDescent="0.25">
      <c r="A787" s="9" t="s">
        <v>170</v>
      </c>
      <c r="B787" s="1"/>
      <c r="C787" s="1" t="s">
        <v>745</v>
      </c>
      <c r="D787" s="12">
        <f t="shared" si="151"/>
        <v>4.0816326530612201</v>
      </c>
      <c r="E787" s="11">
        <v>2.0408163265306101</v>
      </c>
      <c r="F787" s="11">
        <v>2.0408163265306101</v>
      </c>
      <c r="G787" s="15">
        <v>100</v>
      </c>
      <c r="H787" s="15">
        <v>100</v>
      </c>
      <c r="I787" s="12">
        <f t="shared" si="152"/>
        <v>0</v>
      </c>
      <c r="J787" s="12" t="str">
        <f t="shared" si="153"/>
        <v>Không đạt</v>
      </c>
      <c r="K787" s="10"/>
      <c r="L787" s="96">
        <f t="shared" si="154"/>
        <v>4.08</v>
      </c>
      <c r="M787" s="10">
        <v>2.04</v>
      </c>
      <c r="N787" s="10">
        <v>2.04</v>
      </c>
      <c r="O787" s="15">
        <v>100</v>
      </c>
      <c r="P787" s="97">
        <v>100</v>
      </c>
      <c r="Q787" s="12">
        <f t="shared" si="155"/>
        <v>0</v>
      </c>
      <c r="R787" s="12" t="str">
        <f t="shared" si="156"/>
        <v>Không đạt</v>
      </c>
      <c r="S787" s="10"/>
      <c r="T787" s="95"/>
    </row>
    <row r="788" spans="1:20" s="84" customFormat="1" ht="30" x14ac:dyDescent="0.25">
      <c r="A788" s="9" t="s">
        <v>171</v>
      </c>
      <c r="B788" s="1"/>
      <c r="C788" s="1" t="s">
        <v>746</v>
      </c>
      <c r="D788" s="12">
        <f t="shared" si="151"/>
        <v>9.6385542168674689</v>
      </c>
      <c r="E788" s="11">
        <v>6.0240963855421699</v>
      </c>
      <c r="F788" s="11">
        <v>3.6144578313253</v>
      </c>
      <c r="G788" s="15">
        <v>56.499999999999993</v>
      </c>
      <c r="H788" s="15">
        <v>89.16</v>
      </c>
      <c r="I788" s="12">
        <f t="shared" si="152"/>
        <v>2</v>
      </c>
      <c r="J788" s="12" t="str">
        <f t="shared" si="153"/>
        <v>Đạt</v>
      </c>
      <c r="K788" s="10"/>
      <c r="L788" s="96">
        <f t="shared" si="154"/>
        <v>9.629999999999999</v>
      </c>
      <c r="M788" s="10">
        <v>6.02</v>
      </c>
      <c r="N788" s="10">
        <v>3.61</v>
      </c>
      <c r="O788" s="15">
        <v>56.499999999999993</v>
      </c>
      <c r="P788" s="97">
        <v>100</v>
      </c>
      <c r="Q788" s="12">
        <f t="shared" si="155"/>
        <v>1</v>
      </c>
      <c r="R788" s="12" t="str">
        <f t="shared" si="156"/>
        <v>Không đạt</v>
      </c>
      <c r="S788" s="10" t="s">
        <v>1185</v>
      </c>
      <c r="T788" s="95"/>
    </row>
    <row r="789" spans="1:20" s="84" customFormat="1" hidden="1" x14ac:dyDescent="0.25">
      <c r="A789" s="9" t="s">
        <v>172</v>
      </c>
      <c r="B789" s="1"/>
      <c r="C789" s="1" t="s">
        <v>747</v>
      </c>
      <c r="D789" s="12">
        <f t="shared" si="151"/>
        <v>11.66666666666667</v>
      </c>
      <c r="E789" s="11">
        <v>6.6666666666666696</v>
      </c>
      <c r="F789" s="11">
        <v>5</v>
      </c>
      <c r="G789" s="15">
        <v>100</v>
      </c>
      <c r="H789" s="15">
        <v>100</v>
      </c>
      <c r="I789" s="12">
        <f t="shared" si="152"/>
        <v>0</v>
      </c>
      <c r="J789" s="12" t="str">
        <f t="shared" si="153"/>
        <v>Không đạt</v>
      </c>
      <c r="K789" s="10"/>
      <c r="L789" s="96">
        <f t="shared" si="154"/>
        <v>11.67</v>
      </c>
      <c r="M789" s="10">
        <v>6.67</v>
      </c>
      <c r="N789" s="10">
        <v>5</v>
      </c>
      <c r="O789" s="15">
        <v>100</v>
      </c>
      <c r="P789" s="97">
        <v>100</v>
      </c>
      <c r="Q789" s="12">
        <f t="shared" si="155"/>
        <v>0</v>
      </c>
      <c r="R789" s="12" t="str">
        <f t="shared" si="156"/>
        <v>Không đạt</v>
      </c>
      <c r="S789" s="10"/>
      <c r="T789" s="95"/>
    </row>
    <row r="790" spans="1:20" s="84" customFormat="1" hidden="1" x14ac:dyDescent="0.25">
      <c r="A790" s="9" t="s">
        <v>173</v>
      </c>
      <c r="B790" s="1"/>
      <c r="C790" s="1" t="s">
        <v>748</v>
      </c>
      <c r="D790" s="12">
        <f t="shared" si="151"/>
        <v>7.9207920792079198</v>
      </c>
      <c r="E790" s="11">
        <v>1.98019801980198</v>
      </c>
      <c r="F790" s="11">
        <v>5.9405940594059397</v>
      </c>
      <c r="G790" s="15">
        <v>100</v>
      </c>
      <c r="H790" s="15">
        <v>100</v>
      </c>
      <c r="I790" s="12">
        <f t="shared" si="152"/>
        <v>0</v>
      </c>
      <c r="J790" s="12" t="str">
        <f t="shared" si="153"/>
        <v>Không đạt</v>
      </c>
      <c r="K790" s="10"/>
      <c r="L790" s="96">
        <f t="shared" si="154"/>
        <v>7.92</v>
      </c>
      <c r="M790" s="10">
        <v>1.98</v>
      </c>
      <c r="N790" s="10">
        <v>5.94</v>
      </c>
      <c r="O790" s="15">
        <v>100</v>
      </c>
      <c r="P790" s="97">
        <v>100</v>
      </c>
      <c r="Q790" s="12">
        <f t="shared" si="155"/>
        <v>0</v>
      </c>
      <c r="R790" s="12" t="str">
        <f t="shared" si="156"/>
        <v>Không đạt</v>
      </c>
      <c r="S790" s="10"/>
      <c r="T790" s="95"/>
    </row>
    <row r="791" spans="1:20" s="84" customFormat="1" ht="30" x14ac:dyDescent="0.25">
      <c r="A791" s="9" t="s">
        <v>174</v>
      </c>
      <c r="B791" s="1"/>
      <c r="C791" s="1" t="s">
        <v>749</v>
      </c>
      <c r="D791" s="12">
        <f t="shared" si="151"/>
        <v>7.4074074074074101</v>
      </c>
      <c r="E791" s="11">
        <v>2.7777777777777799</v>
      </c>
      <c r="F791" s="11">
        <v>4.6296296296296298</v>
      </c>
      <c r="G791" s="15">
        <v>56.8</v>
      </c>
      <c r="H791" s="15">
        <v>89.81</v>
      </c>
      <c r="I791" s="12">
        <f t="shared" si="152"/>
        <v>2</v>
      </c>
      <c r="J791" s="12" t="str">
        <f t="shared" si="153"/>
        <v>Đạt</v>
      </c>
      <c r="K791" s="10"/>
      <c r="L791" s="96">
        <f t="shared" si="154"/>
        <v>7.6899999999999995</v>
      </c>
      <c r="M791" s="10">
        <v>2.88</v>
      </c>
      <c r="N791" s="10">
        <v>4.8099999999999996</v>
      </c>
      <c r="O791" s="15">
        <v>56.8</v>
      </c>
      <c r="P791" s="97">
        <v>100</v>
      </c>
      <c r="Q791" s="12">
        <f t="shared" si="155"/>
        <v>1</v>
      </c>
      <c r="R791" s="12" t="str">
        <f t="shared" si="156"/>
        <v>Không đạt</v>
      </c>
      <c r="S791" s="10" t="s">
        <v>1185</v>
      </c>
      <c r="T791" s="95"/>
    </row>
    <row r="792" spans="1:20" s="84" customFormat="1" hidden="1" x14ac:dyDescent="0.25">
      <c r="A792" s="9" t="s">
        <v>175</v>
      </c>
      <c r="B792" s="1"/>
      <c r="C792" s="1" t="s">
        <v>750</v>
      </c>
      <c r="D792" s="12">
        <f t="shared" si="151"/>
        <v>12.280701754385959</v>
      </c>
      <c r="E792" s="11">
        <v>7.0175438596491198</v>
      </c>
      <c r="F792" s="11">
        <v>5.2631578947368398</v>
      </c>
      <c r="G792" s="15">
        <v>56.999999999999993</v>
      </c>
      <c r="H792" s="15">
        <v>85.96</v>
      </c>
      <c r="I792" s="12">
        <f t="shared" si="152"/>
        <v>2</v>
      </c>
      <c r="J792" s="12" t="str">
        <f t="shared" si="153"/>
        <v>Đạt</v>
      </c>
      <c r="K792" s="10"/>
      <c r="L792" s="96">
        <f t="shared" si="154"/>
        <v>14</v>
      </c>
      <c r="M792" s="10">
        <v>8</v>
      </c>
      <c r="N792" s="10">
        <v>6</v>
      </c>
      <c r="O792" s="15">
        <v>56.999999999999993</v>
      </c>
      <c r="P792" s="97">
        <v>89.09</v>
      </c>
      <c r="Q792" s="12">
        <f t="shared" si="155"/>
        <v>2</v>
      </c>
      <c r="R792" s="12" t="str">
        <f t="shared" si="156"/>
        <v>Đạt</v>
      </c>
      <c r="S792" s="10"/>
      <c r="T792" s="95"/>
    </row>
    <row r="793" spans="1:20" s="84" customFormat="1" hidden="1" x14ac:dyDescent="0.25">
      <c r="A793" s="9" t="s">
        <v>176</v>
      </c>
      <c r="B793" s="1"/>
      <c r="C793" s="1" t="s">
        <v>751</v>
      </c>
      <c r="D793" s="12">
        <f t="shared" si="151"/>
        <v>5.6451612903225801</v>
      </c>
      <c r="E793" s="11">
        <v>1.61290322580645</v>
      </c>
      <c r="F793" s="11">
        <v>4.0322580645161299</v>
      </c>
      <c r="G793" s="15">
        <v>100</v>
      </c>
      <c r="H793" s="15">
        <v>100</v>
      </c>
      <c r="I793" s="12">
        <f t="shared" si="152"/>
        <v>0</v>
      </c>
      <c r="J793" s="12" t="str">
        <f t="shared" si="153"/>
        <v>Không đạt</v>
      </c>
      <c r="K793" s="10"/>
      <c r="L793" s="96">
        <f t="shared" si="154"/>
        <v>5.7</v>
      </c>
      <c r="M793" s="10">
        <v>1.63</v>
      </c>
      <c r="N793" s="10">
        <v>4.07</v>
      </c>
      <c r="O793" s="15">
        <v>100</v>
      </c>
      <c r="P793" s="97">
        <v>100</v>
      </c>
      <c r="Q793" s="12">
        <f t="shared" si="155"/>
        <v>0</v>
      </c>
      <c r="R793" s="12" t="str">
        <f t="shared" si="156"/>
        <v>Không đạt</v>
      </c>
      <c r="S793" s="10"/>
      <c r="T793" s="95"/>
    </row>
    <row r="794" spans="1:20" s="84" customFormat="1" hidden="1" x14ac:dyDescent="0.25">
      <c r="A794" s="9" t="s">
        <v>177</v>
      </c>
      <c r="B794" s="1"/>
      <c r="C794" s="1" t="s">
        <v>752</v>
      </c>
      <c r="D794" s="12">
        <f t="shared" si="151"/>
        <v>9.7087378640776691</v>
      </c>
      <c r="E794" s="11">
        <v>3.8834951456310698</v>
      </c>
      <c r="F794" s="11">
        <v>5.8252427184466002</v>
      </c>
      <c r="G794" s="15">
        <v>100</v>
      </c>
      <c r="H794" s="15">
        <v>100</v>
      </c>
      <c r="I794" s="12">
        <f t="shared" si="152"/>
        <v>0</v>
      </c>
      <c r="J794" s="12" t="str">
        <f t="shared" si="153"/>
        <v>Không đạt</v>
      </c>
      <c r="K794" s="10"/>
      <c r="L794" s="96">
        <f t="shared" si="154"/>
        <v>10.1</v>
      </c>
      <c r="M794" s="10">
        <v>4.04</v>
      </c>
      <c r="N794" s="10">
        <v>6.06</v>
      </c>
      <c r="O794" s="15">
        <v>100</v>
      </c>
      <c r="P794" s="97">
        <v>100</v>
      </c>
      <c r="Q794" s="12">
        <f t="shared" si="155"/>
        <v>0</v>
      </c>
      <c r="R794" s="12" t="str">
        <f t="shared" si="156"/>
        <v>Không đạt</v>
      </c>
      <c r="S794" s="10"/>
      <c r="T794" s="95"/>
    </row>
    <row r="795" spans="1:20" s="84" customFormat="1" hidden="1" x14ac:dyDescent="0.25">
      <c r="A795" s="9" t="s">
        <v>178</v>
      </c>
      <c r="B795" s="1"/>
      <c r="C795" s="1" t="s">
        <v>753</v>
      </c>
      <c r="D795" s="12">
        <f t="shared" si="151"/>
        <v>7.6923076923077005</v>
      </c>
      <c r="E795" s="11">
        <v>3.2967032967033001</v>
      </c>
      <c r="F795" s="11">
        <v>4.3956043956044004</v>
      </c>
      <c r="G795" s="15">
        <v>100</v>
      </c>
      <c r="H795" s="15">
        <v>100</v>
      </c>
      <c r="I795" s="12">
        <f t="shared" si="152"/>
        <v>0</v>
      </c>
      <c r="J795" s="12" t="str">
        <f t="shared" si="153"/>
        <v>Không đạt</v>
      </c>
      <c r="K795" s="10"/>
      <c r="L795" s="96">
        <f t="shared" si="154"/>
        <v>7.86</v>
      </c>
      <c r="M795" s="10">
        <v>3.37</v>
      </c>
      <c r="N795" s="10">
        <v>4.49</v>
      </c>
      <c r="O795" s="15">
        <v>100</v>
      </c>
      <c r="P795" s="97">
        <v>100</v>
      </c>
      <c r="Q795" s="12">
        <f t="shared" si="155"/>
        <v>0</v>
      </c>
      <c r="R795" s="12" t="str">
        <f t="shared" si="156"/>
        <v>Không đạt</v>
      </c>
      <c r="S795" s="10"/>
      <c r="T795" s="95"/>
    </row>
    <row r="796" spans="1:20" s="84" customFormat="1" hidden="1" x14ac:dyDescent="0.25">
      <c r="A796" s="9" t="s">
        <v>179</v>
      </c>
      <c r="B796" s="1"/>
      <c r="C796" s="1" t="s">
        <v>754</v>
      </c>
      <c r="D796" s="12">
        <f t="shared" si="151"/>
        <v>7.1428571428571397</v>
      </c>
      <c r="E796" s="11">
        <v>2.0408163265306101</v>
      </c>
      <c r="F796" s="11">
        <v>5.1020408163265296</v>
      </c>
      <c r="G796" s="15">
        <v>55.600000000000009</v>
      </c>
      <c r="H796" s="15">
        <v>85.71</v>
      </c>
      <c r="I796" s="12">
        <f t="shared" si="152"/>
        <v>2</v>
      </c>
      <c r="J796" s="12" t="str">
        <f t="shared" si="153"/>
        <v>Đạt</v>
      </c>
      <c r="K796" s="10"/>
      <c r="L796" s="96">
        <f t="shared" si="154"/>
        <v>7.29</v>
      </c>
      <c r="M796" s="10">
        <v>2.08</v>
      </c>
      <c r="N796" s="10">
        <v>5.21</v>
      </c>
      <c r="O796" s="15">
        <v>55.600000000000009</v>
      </c>
      <c r="P796" s="97">
        <v>89.36</v>
      </c>
      <c r="Q796" s="12">
        <f t="shared" si="155"/>
        <v>2</v>
      </c>
      <c r="R796" s="12" t="str">
        <f t="shared" si="156"/>
        <v>Đạt</v>
      </c>
      <c r="S796" s="10"/>
      <c r="T796" s="95"/>
    </row>
    <row r="797" spans="1:20" s="84" customFormat="1" hidden="1" x14ac:dyDescent="0.25">
      <c r="A797" s="9" t="s">
        <v>180</v>
      </c>
      <c r="B797" s="1"/>
      <c r="C797" s="1" t="s">
        <v>755</v>
      </c>
      <c r="D797" s="12">
        <f t="shared" si="151"/>
        <v>10</v>
      </c>
      <c r="E797" s="11">
        <v>2</v>
      </c>
      <c r="F797" s="11">
        <v>8</v>
      </c>
      <c r="G797" s="15">
        <v>57.499999999999993</v>
      </c>
      <c r="H797" s="15">
        <v>88</v>
      </c>
      <c r="I797" s="12">
        <f t="shared" si="152"/>
        <v>2</v>
      </c>
      <c r="J797" s="12" t="str">
        <f t="shared" si="153"/>
        <v>Đạt</v>
      </c>
      <c r="K797" s="10"/>
      <c r="L797" s="96">
        <f t="shared" si="154"/>
        <v>10.53</v>
      </c>
      <c r="M797" s="10">
        <v>2.11</v>
      </c>
      <c r="N797" s="10">
        <v>8.42</v>
      </c>
      <c r="O797" s="15">
        <v>57.499999999999993</v>
      </c>
      <c r="P797" s="97">
        <v>89.8</v>
      </c>
      <c r="Q797" s="12">
        <f t="shared" si="155"/>
        <v>2</v>
      </c>
      <c r="R797" s="12" t="str">
        <f t="shared" si="156"/>
        <v>Đạt</v>
      </c>
      <c r="S797" s="10"/>
      <c r="T797" s="95"/>
    </row>
    <row r="798" spans="1:20" s="84" customFormat="1" ht="30" x14ac:dyDescent="0.25">
      <c r="A798" s="9" t="s">
        <v>181</v>
      </c>
      <c r="B798" s="1"/>
      <c r="C798" s="1" t="s">
        <v>756</v>
      </c>
      <c r="D798" s="12">
        <f t="shared" si="151"/>
        <v>9.67741935483871</v>
      </c>
      <c r="E798" s="11">
        <v>1.0752688172042999</v>
      </c>
      <c r="F798" s="11">
        <v>8.6021505376344098</v>
      </c>
      <c r="G798" s="15">
        <v>55.800000000000004</v>
      </c>
      <c r="H798" s="15">
        <v>89.25</v>
      </c>
      <c r="I798" s="12">
        <f t="shared" si="152"/>
        <v>2</v>
      </c>
      <c r="J798" s="12" t="str">
        <f t="shared" si="153"/>
        <v>Đạt</v>
      </c>
      <c r="K798" s="10"/>
      <c r="L798" s="96">
        <f t="shared" si="154"/>
        <v>9.09</v>
      </c>
      <c r="M798" s="10">
        <v>1.01</v>
      </c>
      <c r="N798" s="10">
        <v>8.08</v>
      </c>
      <c r="O798" s="15">
        <v>55.800000000000004</v>
      </c>
      <c r="P798" s="97">
        <v>100</v>
      </c>
      <c r="Q798" s="12">
        <f t="shared" si="155"/>
        <v>1</v>
      </c>
      <c r="R798" s="12" t="str">
        <f t="shared" si="156"/>
        <v>Không đạt</v>
      </c>
      <c r="S798" s="10" t="s">
        <v>1185</v>
      </c>
      <c r="T798" s="95"/>
    </row>
    <row r="799" spans="1:20" s="84" customFormat="1" hidden="1" x14ac:dyDescent="0.25">
      <c r="A799" s="9" t="s">
        <v>182</v>
      </c>
      <c r="B799" s="1"/>
      <c r="C799" s="1" t="s">
        <v>757</v>
      </c>
      <c r="D799" s="12">
        <f t="shared" si="151"/>
        <v>15.277777777777771</v>
      </c>
      <c r="E799" s="11">
        <v>6.9444444444444402</v>
      </c>
      <c r="F799" s="11">
        <v>8.3333333333333304</v>
      </c>
      <c r="G799" s="15">
        <v>56.599999999999994</v>
      </c>
      <c r="H799" s="15">
        <v>87.5</v>
      </c>
      <c r="I799" s="12">
        <f t="shared" si="152"/>
        <v>2</v>
      </c>
      <c r="J799" s="12" t="str">
        <f t="shared" si="153"/>
        <v>Đạt</v>
      </c>
      <c r="K799" s="10"/>
      <c r="L799" s="96">
        <f t="shared" si="154"/>
        <v>15.489999999999998</v>
      </c>
      <c r="M799" s="10">
        <v>7.04</v>
      </c>
      <c r="N799" s="10">
        <v>8.4499999999999993</v>
      </c>
      <c r="O799" s="15">
        <v>56.599999999999994</v>
      </c>
      <c r="P799" s="97">
        <v>88.73</v>
      </c>
      <c r="Q799" s="12">
        <f t="shared" si="155"/>
        <v>2</v>
      </c>
      <c r="R799" s="12" t="str">
        <f t="shared" si="156"/>
        <v>Đạt</v>
      </c>
      <c r="S799" s="10"/>
      <c r="T799" s="95"/>
    </row>
    <row r="800" spans="1:20" s="84" customFormat="1" hidden="1" x14ac:dyDescent="0.25">
      <c r="A800" s="9" t="s">
        <v>183</v>
      </c>
      <c r="B800" s="1"/>
      <c r="C800" s="1" t="s">
        <v>758</v>
      </c>
      <c r="D800" s="12">
        <f t="shared" si="151"/>
        <v>12.5</v>
      </c>
      <c r="E800" s="11">
        <v>5</v>
      </c>
      <c r="F800" s="11">
        <v>7.5</v>
      </c>
      <c r="G800" s="15">
        <v>51.9</v>
      </c>
      <c r="H800" s="15">
        <v>88.83</v>
      </c>
      <c r="I800" s="12">
        <f t="shared" si="152"/>
        <v>2</v>
      </c>
      <c r="J800" s="12" t="str">
        <f t="shared" si="153"/>
        <v>Đạt</v>
      </c>
      <c r="K800" s="10"/>
      <c r="L800" s="96">
        <f t="shared" si="154"/>
        <v>12.71</v>
      </c>
      <c r="M800" s="10">
        <v>5.08</v>
      </c>
      <c r="N800" s="10">
        <v>7.63</v>
      </c>
      <c r="O800" s="15">
        <v>51.9</v>
      </c>
      <c r="P800" s="97">
        <v>89.83</v>
      </c>
      <c r="Q800" s="12">
        <f t="shared" si="155"/>
        <v>2</v>
      </c>
      <c r="R800" s="12" t="str">
        <f t="shared" si="156"/>
        <v>Đạt</v>
      </c>
      <c r="S800" s="10"/>
      <c r="T800" s="95"/>
    </row>
    <row r="801" spans="1:21" s="84" customFormat="1" hidden="1" x14ac:dyDescent="0.25">
      <c r="A801" s="9" t="s">
        <v>184</v>
      </c>
      <c r="B801" s="1"/>
      <c r="C801" s="1" t="s">
        <v>759</v>
      </c>
      <c r="D801" s="12">
        <f t="shared" si="151"/>
        <v>9.2105263157894708</v>
      </c>
      <c r="E801" s="11">
        <v>1.31578947368421</v>
      </c>
      <c r="F801" s="11">
        <v>7.8947368421052602</v>
      </c>
      <c r="G801" s="15">
        <v>55.600000000000009</v>
      </c>
      <c r="H801" s="15">
        <v>88.16</v>
      </c>
      <c r="I801" s="12">
        <f t="shared" si="152"/>
        <v>2</v>
      </c>
      <c r="J801" s="12" t="str">
        <f t="shared" si="153"/>
        <v>Đạt</v>
      </c>
      <c r="K801" s="10"/>
      <c r="L801" s="96">
        <f t="shared" si="154"/>
        <v>10</v>
      </c>
      <c r="M801" s="10">
        <v>1.43</v>
      </c>
      <c r="N801" s="10">
        <v>8.57</v>
      </c>
      <c r="O801" s="15">
        <v>55.600000000000009</v>
      </c>
      <c r="P801" s="97">
        <v>87.32</v>
      </c>
      <c r="Q801" s="12">
        <f t="shared" si="155"/>
        <v>2</v>
      </c>
      <c r="R801" s="12" t="str">
        <f t="shared" si="156"/>
        <v>Đạt</v>
      </c>
      <c r="S801" s="10"/>
      <c r="T801" s="95"/>
    </row>
    <row r="802" spans="1:21" s="84" customFormat="1" hidden="1" x14ac:dyDescent="0.25">
      <c r="A802" s="9" t="s">
        <v>185</v>
      </c>
      <c r="B802" s="1"/>
      <c r="C802" s="1" t="s">
        <v>760</v>
      </c>
      <c r="D802" s="12">
        <f t="shared" si="151"/>
        <v>9.0909090909090899</v>
      </c>
      <c r="E802" s="11">
        <v>2.2727272727272698</v>
      </c>
      <c r="F802" s="11">
        <v>6.8181818181818201</v>
      </c>
      <c r="G802" s="15">
        <v>56.999999999999993</v>
      </c>
      <c r="H802" s="15">
        <v>88.64</v>
      </c>
      <c r="I802" s="12">
        <f t="shared" si="152"/>
        <v>2</v>
      </c>
      <c r="J802" s="12" t="str">
        <f t="shared" si="153"/>
        <v>Đạt</v>
      </c>
      <c r="K802" s="10"/>
      <c r="L802" s="96">
        <f t="shared" si="154"/>
        <v>9.23</v>
      </c>
      <c r="M802" s="10">
        <v>2.31</v>
      </c>
      <c r="N802" s="10">
        <v>6.92</v>
      </c>
      <c r="O802" s="15">
        <v>56.999999999999993</v>
      </c>
      <c r="P802" s="97">
        <v>89.93</v>
      </c>
      <c r="Q802" s="12">
        <f t="shared" si="155"/>
        <v>2</v>
      </c>
      <c r="R802" s="12" t="str">
        <f t="shared" si="156"/>
        <v>Đạt</v>
      </c>
      <c r="S802" s="10"/>
      <c r="T802" s="95"/>
    </row>
    <row r="803" spans="1:21" s="84" customFormat="1" hidden="1" x14ac:dyDescent="0.25">
      <c r="A803" s="9" t="s">
        <v>186</v>
      </c>
      <c r="B803" s="1"/>
      <c r="C803" s="1" t="s">
        <v>761</v>
      </c>
      <c r="D803" s="12">
        <f t="shared" si="151"/>
        <v>12.5</v>
      </c>
      <c r="E803" s="11">
        <v>4.8076923076923102</v>
      </c>
      <c r="F803" s="11">
        <v>7.6923076923076898</v>
      </c>
      <c r="G803" s="15">
        <v>55.000000000000007</v>
      </c>
      <c r="H803" s="15">
        <v>89.42</v>
      </c>
      <c r="I803" s="12">
        <f t="shared" si="152"/>
        <v>2</v>
      </c>
      <c r="J803" s="12" t="str">
        <f t="shared" si="153"/>
        <v>Đạt</v>
      </c>
      <c r="K803" s="10"/>
      <c r="L803" s="96">
        <f t="shared" si="154"/>
        <v>12.74</v>
      </c>
      <c r="M803" s="10">
        <v>4.9000000000000004</v>
      </c>
      <c r="N803" s="10">
        <v>7.84</v>
      </c>
      <c r="O803" s="15">
        <v>55.000000000000007</v>
      </c>
      <c r="P803" s="97">
        <v>88.57</v>
      </c>
      <c r="Q803" s="12">
        <f t="shared" si="155"/>
        <v>2</v>
      </c>
      <c r="R803" s="12" t="str">
        <f t="shared" si="156"/>
        <v>Đạt</v>
      </c>
      <c r="S803" s="10"/>
      <c r="T803" s="95"/>
    </row>
    <row r="804" spans="1:21" s="84" customFormat="1" hidden="1" x14ac:dyDescent="0.25">
      <c r="A804" s="9" t="s">
        <v>187</v>
      </c>
      <c r="B804" s="1"/>
      <c r="C804" s="1" t="s">
        <v>762</v>
      </c>
      <c r="D804" s="12">
        <f t="shared" si="151"/>
        <v>10</v>
      </c>
      <c r="E804" s="11">
        <v>4</v>
      </c>
      <c r="F804" s="11">
        <v>6</v>
      </c>
      <c r="G804" s="15">
        <v>56.100000000000009</v>
      </c>
      <c r="H804" s="15">
        <v>88</v>
      </c>
      <c r="I804" s="12">
        <f t="shared" si="152"/>
        <v>2</v>
      </c>
      <c r="J804" s="12" t="str">
        <f t="shared" si="153"/>
        <v>Đạt</v>
      </c>
      <c r="K804" s="10"/>
      <c r="L804" s="96">
        <f t="shared" si="154"/>
        <v>9.8000000000000007</v>
      </c>
      <c r="M804" s="10">
        <v>3.92</v>
      </c>
      <c r="N804" s="10">
        <v>5.88</v>
      </c>
      <c r="O804" s="15">
        <v>56.100000000000009</v>
      </c>
      <c r="P804" s="97">
        <v>88</v>
      </c>
      <c r="Q804" s="12">
        <f t="shared" si="155"/>
        <v>2</v>
      </c>
      <c r="R804" s="12" t="str">
        <f t="shared" si="156"/>
        <v>Đạt</v>
      </c>
      <c r="S804" s="10"/>
      <c r="T804" s="95"/>
    </row>
    <row r="805" spans="1:21" s="84" customFormat="1" hidden="1" x14ac:dyDescent="0.25">
      <c r="A805" s="9" t="s">
        <v>188</v>
      </c>
      <c r="B805" s="1"/>
      <c r="C805" s="1" t="s">
        <v>763</v>
      </c>
      <c r="D805" s="12">
        <f t="shared" si="151"/>
        <v>9.8360655737704903</v>
      </c>
      <c r="E805" s="11">
        <v>3.27868852459016</v>
      </c>
      <c r="F805" s="11">
        <v>6.5573770491803298</v>
      </c>
      <c r="G805" s="15">
        <v>56.699999999999996</v>
      </c>
      <c r="H805" s="15">
        <v>88.52</v>
      </c>
      <c r="I805" s="12">
        <f t="shared" si="152"/>
        <v>2</v>
      </c>
      <c r="J805" s="12" t="str">
        <f t="shared" si="153"/>
        <v>Đạt</v>
      </c>
      <c r="K805" s="10"/>
      <c r="L805" s="96">
        <f t="shared" si="154"/>
        <v>9.84</v>
      </c>
      <c r="M805" s="10">
        <v>3.28</v>
      </c>
      <c r="N805" s="10">
        <v>6.56</v>
      </c>
      <c r="O805" s="15">
        <v>56.699999999999996</v>
      </c>
      <c r="P805" s="97">
        <v>88.71</v>
      </c>
      <c r="Q805" s="12">
        <f t="shared" si="155"/>
        <v>2</v>
      </c>
      <c r="R805" s="12" t="str">
        <f t="shared" si="156"/>
        <v>Đạt</v>
      </c>
      <c r="S805" s="10"/>
      <c r="T805" s="95"/>
    </row>
    <row r="806" spans="1:21" s="84" customFormat="1" hidden="1" x14ac:dyDescent="0.25">
      <c r="A806" s="9" t="s">
        <v>189</v>
      </c>
      <c r="B806" s="1"/>
      <c r="C806" s="1" t="s">
        <v>764</v>
      </c>
      <c r="D806" s="12">
        <f t="shared" si="151"/>
        <v>16.190476190476161</v>
      </c>
      <c r="E806" s="11">
        <v>4.7619047619047601</v>
      </c>
      <c r="F806" s="11">
        <v>11.4285714285714</v>
      </c>
      <c r="G806" s="15">
        <v>57.099999999999994</v>
      </c>
      <c r="H806" s="15">
        <v>80.95</v>
      </c>
      <c r="I806" s="12">
        <f t="shared" si="152"/>
        <v>2</v>
      </c>
      <c r="J806" s="12" t="str">
        <f t="shared" si="153"/>
        <v>Đạt</v>
      </c>
      <c r="K806" s="10"/>
      <c r="L806" s="96">
        <f t="shared" si="154"/>
        <v>16.66</v>
      </c>
      <c r="M806" s="10">
        <v>4.9000000000000004</v>
      </c>
      <c r="N806" s="10">
        <v>11.76</v>
      </c>
      <c r="O806" s="15">
        <v>57.099999999999994</v>
      </c>
      <c r="P806" s="97">
        <v>80.77</v>
      </c>
      <c r="Q806" s="12">
        <f t="shared" si="155"/>
        <v>3</v>
      </c>
      <c r="R806" s="12" t="str">
        <f t="shared" si="156"/>
        <v>Đạt</v>
      </c>
      <c r="S806" s="10"/>
      <c r="T806" s="95"/>
    </row>
    <row r="807" spans="1:21" s="109" customFormat="1" ht="39.75" customHeight="1" x14ac:dyDescent="0.25">
      <c r="A807" s="63" t="s">
        <v>929</v>
      </c>
      <c r="B807" s="64" t="s">
        <v>108</v>
      </c>
      <c r="C807" s="64"/>
      <c r="D807" s="66"/>
      <c r="E807" s="106"/>
      <c r="F807" s="106"/>
      <c r="G807" s="66"/>
      <c r="H807" s="66"/>
      <c r="I807" s="66"/>
      <c r="J807" s="66"/>
      <c r="K807" s="65">
        <f>COUNTIF(J808:J867,"Đạt")</f>
        <v>19</v>
      </c>
      <c r="L807" s="107">
        <f t="shared" ref="L807:L851" si="157">M807+N807</f>
        <v>0</v>
      </c>
      <c r="M807" s="65"/>
      <c r="N807" s="65"/>
      <c r="O807" s="66"/>
      <c r="P807" s="108"/>
      <c r="Q807" s="69"/>
      <c r="R807" s="69"/>
      <c r="S807" s="65" t="s">
        <v>1191</v>
      </c>
      <c r="U807" s="84"/>
    </row>
    <row r="808" spans="1:21" s="84" customFormat="1" hidden="1" x14ac:dyDescent="0.25">
      <c r="A808" s="9" t="s">
        <v>148</v>
      </c>
      <c r="B808" s="1"/>
      <c r="C808" s="1" t="s">
        <v>871</v>
      </c>
      <c r="D808" s="82">
        <f t="shared" ref="D808:D866" si="158">E808+F808</f>
        <v>3.9772727272727275</v>
      </c>
      <c r="E808" s="105">
        <v>2.2727272727272729</v>
      </c>
      <c r="F808" s="105">
        <v>1.7045454545454544</v>
      </c>
      <c r="G808" s="82">
        <v>30.08</v>
      </c>
      <c r="H808" s="82">
        <v>84.444444444444443</v>
      </c>
      <c r="I808" s="12">
        <f>SUM((IF(D808&gt;=16.24,1,0))+(IF(G808&lt;60,1,0))+(IF(H808&lt;90,1,0)))</f>
        <v>2</v>
      </c>
      <c r="J808" s="12" t="str">
        <f t="shared" ref="J808:J867" si="159">IF(I808&gt;=2,"Đạt","Không đạt")</f>
        <v>Đạt</v>
      </c>
      <c r="K808" s="10"/>
      <c r="L808" s="96">
        <f t="shared" si="157"/>
        <v>3.9699999999999998</v>
      </c>
      <c r="M808" s="10">
        <v>2.27</v>
      </c>
      <c r="N808" s="10">
        <v>1.7</v>
      </c>
      <c r="O808" s="82">
        <v>30.08</v>
      </c>
      <c r="P808" s="97">
        <v>82.142857142857139</v>
      </c>
      <c r="Q808" s="12">
        <f t="shared" ref="Q808:Q851" si="160">SUM((IF(L808&gt;=16.24,1,0))+(IF(O808&lt;60,1,0))+(IF(P808&lt;90,1,0)))</f>
        <v>2</v>
      </c>
      <c r="R808" s="12" t="str">
        <f t="shared" ref="R808:R851" si="161">IF(Q808&gt;=2,"Đạt","Không đạt")</f>
        <v>Đạt</v>
      </c>
      <c r="S808" s="10"/>
      <c r="T808" s="95"/>
    </row>
    <row r="809" spans="1:21" s="84" customFormat="1" hidden="1" x14ac:dyDescent="0.25">
      <c r="A809" s="9" t="s">
        <v>149</v>
      </c>
      <c r="B809" s="1"/>
      <c r="C809" s="1" t="s">
        <v>872</v>
      </c>
      <c r="D809" s="82">
        <f t="shared" si="158"/>
        <v>8.4033613445378155</v>
      </c>
      <c r="E809" s="105">
        <v>4.2016806722689077</v>
      </c>
      <c r="F809" s="105">
        <v>4.2016806722689077</v>
      </c>
      <c r="G809" s="82">
        <v>89.72</v>
      </c>
      <c r="H809" s="82">
        <v>95.9</v>
      </c>
      <c r="I809" s="12">
        <f t="shared" ref="I809:I867" si="162">SUM((IF(D809&gt;=16.24,1,0))+(IF(G809&lt;60,1,0))+(IF(H809&lt;90,1,0)))</f>
        <v>0</v>
      </c>
      <c r="J809" s="12" t="str">
        <f t="shared" si="159"/>
        <v>Không đạt</v>
      </c>
      <c r="K809" s="10"/>
      <c r="L809" s="96">
        <f t="shared" si="157"/>
        <v>8.4</v>
      </c>
      <c r="M809" s="10">
        <v>4.2</v>
      </c>
      <c r="N809" s="10">
        <v>4.2</v>
      </c>
      <c r="O809" s="82">
        <v>89.72</v>
      </c>
      <c r="P809" s="97">
        <v>80.740740740740733</v>
      </c>
      <c r="Q809" s="12">
        <f t="shared" si="160"/>
        <v>1</v>
      </c>
      <c r="R809" s="12" t="str">
        <f t="shared" si="161"/>
        <v>Không đạt</v>
      </c>
      <c r="S809" s="10"/>
      <c r="T809" s="95"/>
    </row>
    <row r="810" spans="1:21" s="117" customFormat="1" ht="45" x14ac:dyDescent="0.25">
      <c r="A810" s="87" t="s">
        <v>150</v>
      </c>
      <c r="B810" s="88"/>
      <c r="C810" s="88" t="s">
        <v>873</v>
      </c>
      <c r="D810" s="81">
        <f t="shared" si="158"/>
        <v>6.7073170731707314</v>
      </c>
      <c r="E810" s="118">
        <v>4.8780487804878048</v>
      </c>
      <c r="F810" s="118">
        <v>1.8292682926829267</v>
      </c>
      <c r="G810" s="81">
        <v>45.26</v>
      </c>
      <c r="H810" s="81">
        <v>96.99</v>
      </c>
      <c r="I810" s="45">
        <f t="shared" si="162"/>
        <v>1</v>
      </c>
      <c r="J810" s="45" t="str">
        <f t="shared" si="159"/>
        <v>Không đạt</v>
      </c>
      <c r="K810" s="43"/>
      <c r="L810" s="61">
        <f t="shared" si="157"/>
        <v>6.71</v>
      </c>
      <c r="M810" s="43">
        <v>4.88</v>
      </c>
      <c r="N810" s="43">
        <v>1.83</v>
      </c>
      <c r="O810" s="81">
        <v>45.26</v>
      </c>
      <c r="P810" s="62">
        <v>81.294964028776988</v>
      </c>
      <c r="Q810" s="45">
        <f t="shared" si="160"/>
        <v>2</v>
      </c>
      <c r="R810" s="45" t="str">
        <f t="shared" si="161"/>
        <v>Đạt</v>
      </c>
      <c r="S810" s="43" t="s">
        <v>1190</v>
      </c>
      <c r="T810" s="86"/>
    </row>
    <row r="811" spans="1:21" s="84" customFormat="1" hidden="1" x14ac:dyDescent="0.25">
      <c r="A811" s="9" t="s">
        <v>151</v>
      </c>
      <c r="B811" s="1"/>
      <c r="C811" s="1" t="s">
        <v>874</v>
      </c>
      <c r="D811" s="82">
        <f t="shared" si="158"/>
        <v>9.0909090909090899</v>
      </c>
      <c r="E811" s="105">
        <v>2.7272727272727271</v>
      </c>
      <c r="F811" s="105">
        <v>6.3636363636363633</v>
      </c>
      <c r="G811" s="82">
        <v>81.23</v>
      </c>
      <c r="H811" s="82">
        <v>99.09</v>
      </c>
      <c r="I811" s="12">
        <f t="shared" si="162"/>
        <v>0</v>
      </c>
      <c r="J811" s="12" t="str">
        <f t="shared" si="159"/>
        <v>Không đạt</v>
      </c>
      <c r="K811" s="10"/>
      <c r="L811" s="96">
        <f t="shared" si="157"/>
        <v>9.09</v>
      </c>
      <c r="M811" s="10">
        <v>2.73</v>
      </c>
      <c r="N811" s="10">
        <v>6.36</v>
      </c>
      <c r="O811" s="82">
        <v>81.23</v>
      </c>
      <c r="P811" s="97">
        <v>96.987951807228924</v>
      </c>
      <c r="Q811" s="12">
        <f t="shared" si="160"/>
        <v>0</v>
      </c>
      <c r="R811" s="12" t="str">
        <f t="shared" si="161"/>
        <v>Không đạt</v>
      </c>
      <c r="S811" s="10"/>
      <c r="T811" s="95"/>
    </row>
    <row r="812" spans="1:21" s="84" customFormat="1" hidden="1" x14ac:dyDescent="0.25">
      <c r="A812" s="9" t="s">
        <v>152</v>
      </c>
      <c r="B812" s="1"/>
      <c r="C812" s="1" t="s">
        <v>875</v>
      </c>
      <c r="D812" s="82">
        <f t="shared" si="158"/>
        <v>3.4188034188034191</v>
      </c>
      <c r="E812" s="105">
        <v>0</v>
      </c>
      <c r="F812" s="105">
        <v>3.4188034188034191</v>
      </c>
      <c r="G812" s="82">
        <v>84.1</v>
      </c>
      <c r="H812" s="82">
        <v>98.35</v>
      </c>
      <c r="I812" s="12">
        <f t="shared" si="162"/>
        <v>0</v>
      </c>
      <c r="J812" s="12" t="str">
        <f t="shared" si="159"/>
        <v>Không đạt</v>
      </c>
      <c r="K812" s="10"/>
      <c r="L812" s="96">
        <f t="shared" si="157"/>
        <v>3.42</v>
      </c>
      <c r="M812" s="10">
        <v>0</v>
      </c>
      <c r="N812" s="10">
        <v>3.42</v>
      </c>
      <c r="O812" s="82">
        <v>84.1</v>
      </c>
      <c r="P812" s="97">
        <v>99.090909090909079</v>
      </c>
      <c r="Q812" s="12">
        <f t="shared" si="160"/>
        <v>0</v>
      </c>
      <c r="R812" s="12" t="str">
        <f t="shared" si="161"/>
        <v>Không đạt</v>
      </c>
      <c r="S812" s="10"/>
      <c r="T812" s="95"/>
    </row>
    <row r="813" spans="1:21" s="84" customFormat="1" hidden="1" x14ac:dyDescent="0.25">
      <c r="A813" s="9" t="s">
        <v>153</v>
      </c>
      <c r="B813" s="1"/>
      <c r="C813" s="1" t="s">
        <v>876</v>
      </c>
      <c r="D813" s="82">
        <f t="shared" si="158"/>
        <v>8.1632653061224492</v>
      </c>
      <c r="E813" s="105">
        <v>0</v>
      </c>
      <c r="F813" s="105">
        <v>8.1632653061224492</v>
      </c>
      <c r="G813" s="82">
        <v>88.24</v>
      </c>
      <c r="H813" s="82">
        <v>95.92</v>
      </c>
      <c r="I813" s="12">
        <f t="shared" si="162"/>
        <v>0</v>
      </c>
      <c r="J813" s="12" t="str">
        <f t="shared" si="159"/>
        <v>Không đạt</v>
      </c>
      <c r="K813" s="10"/>
      <c r="L813" s="96">
        <f t="shared" si="157"/>
        <v>8.16</v>
      </c>
      <c r="M813" s="10">
        <v>0</v>
      </c>
      <c r="N813" s="10">
        <v>8.16</v>
      </c>
      <c r="O813" s="82">
        <v>88.24</v>
      </c>
      <c r="P813" s="97">
        <v>98.347107438016536</v>
      </c>
      <c r="Q813" s="12">
        <f t="shared" si="160"/>
        <v>0</v>
      </c>
      <c r="R813" s="12" t="str">
        <f t="shared" si="161"/>
        <v>Không đạt</v>
      </c>
      <c r="S813" s="10"/>
      <c r="T813" s="95"/>
    </row>
    <row r="814" spans="1:21" s="84" customFormat="1" hidden="1" x14ac:dyDescent="0.25">
      <c r="A814" s="9" t="s">
        <v>154</v>
      </c>
      <c r="B814" s="1"/>
      <c r="C814" s="1" t="s">
        <v>877</v>
      </c>
      <c r="D814" s="82">
        <f t="shared" si="158"/>
        <v>5.1948051948051948</v>
      </c>
      <c r="E814" s="105">
        <v>2.5974025974025974</v>
      </c>
      <c r="F814" s="105">
        <v>2.5974025974025974</v>
      </c>
      <c r="G814" s="82">
        <v>72.39</v>
      </c>
      <c r="H814" s="82">
        <v>97.44</v>
      </c>
      <c r="I814" s="12">
        <f t="shared" si="162"/>
        <v>0</v>
      </c>
      <c r="J814" s="12" t="str">
        <f t="shared" si="159"/>
        <v>Không đạt</v>
      </c>
      <c r="K814" s="10"/>
      <c r="L814" s="96">
        <f t="shared" si="157"/>
        <v>5.2</v>
      </c>
      <c r="M814" s="10">
        <v>2.6</v>
      </c>
      <c r="N814" s="10">
        <v>2.6</v>
      </c>
      <c r="O814" s="82">
        <v>72.39</v>
      </c>
      <c r="P814" s="97">
        <v>95.91836734693878</v>
      </c>
      <c r="Q814" s="12">
        <f t="shared" si="160"/>
        <v>0</v>
      </c>
      <c r="R814" s="12" t="str">
        <f t="shared" si="161"/>
        <v>Không đạt</v>
      </c>
      <c r="S814" s="10"/>
      <c r="T814" s="95"/>
    </row>
    <row r="815" spans="1:21" s="84" customFormat="1" hidden="1" x14ac:dyDescent="0.25">
      <c r="A815" s="9" t="s">
        <v>155</v>
      </c>
      <c r="B815" s="1"/>
      <c r="C815" s="1" t="s">
        <v>878</v>
      </c>
      <c r="D815" s="82">
        <f t="shared" si="158"/>
        <v>6.4102564102564097</v>
      </c>
      <c r="E815" s="105">
        <v>6.4102564102564097</v>
      </c>
      <c r="F815" s="105">
        <v>0</v>
      </c>
      <c r="G815" s="82">
        <v>62.5</v>
      </c>
      <c r="H815" s="82">
        <v>83.12</v>
      </c>
      <c r="I815" s="12">
        <f t="shared" si="162"/>
        <v>1</v>
      </c>
      <c r="J815" s="12" t="str">
        <f t="shared" si="159"/>
        <v>Không đạt</v>
      </c>
      <c r="K815" s="10"/>
      <c r="L815" s="96">
        <f t="shared" si="157"/>
        <v>6.41</v>
      </c>
      <c r="M815" s="10">
        <v>6.41</v>
      </c>
      <c r="N815" s="10">
        <v>0</v>
      </c>
      <c r="O815" s="82">
        <v>62.5</v>
      </c>
      <c r="P815" s="97">
        <v>97.435897435897431</v>
      </c>
      <c r="Q815" s="12">
        <f t="shared" si="160"/>
        <v>0</v>
      </c>
      <c r="R815" s="12" t="str">
        <f t="shared" si="161"/>
        <v>Không đạt</v>
      </c>
      <c r="S815" s="10"/>
      <c r="T815" s="95"/>
    </row>
    <row r="816" spans="1:21" s="84" customFormat="1" hidden="1" x14ac:dyDescent="0.25">
      <c r="A816" s="9" t="s">
        <v>156</v>
      </c>
      <c r="B816" s="1"/>
      <c r="C816" s="1" t="s">
        <v>879</v>
      </c>
      <c r="D816" s="82">
        <f t="shared" si="158"/>
        <v>9.0163934426229506</v>
      </c>
      <c r="E816" s="105">
        <v>5.7377049180327866</v>
      </c>
      <c r="F816" s="105">
        <v>3.278688524590164</v>
      </c>
      <c r="G816" s="82">
        <v>71.069999999999993</v>
      </c>
      <c r="H816" s="82">
        <v>86.07</v>
      </c>
      <c r="I816" s="12">
        <f t="shared" si="162"/>
        <v>1</v>
      </c>
      <c r="J816" s="12" t="str">
        <f>IF(I816&gt;=2,"Đạt","Không đạt")</f>
        <v>Không đạt</v>
      </c>
      <c r="K816" s="10"/>
      <c r="L816" s="96">
        <f t="shared" si="157"/>
        <v>9.02</v>
      </c>
      <c r="M816" s="10">
        <v>5.74</v>
      </c>
      <c r="N816" s="10">
        <v>3.28</v>
      </c>
      <c r="O816" s="82">
        <v>71.069999999999993</v>
      </c>
      <c r="P816" s="97">
        <v>83.116883116883116</v>
      </c>
      <c r="Q816" s="12">
        <f t="shared" si="160"/>
        <v>1</v>
      </c>
      <c r="R816" s="12" t="str">
        <f t="shared" si="161"/>
        <v>Không đạt</v>
      </c>
      <c r="S816" s="10"/>
      <c r="T816" s="95"/>
    </row>
    <row r="817" spans="1:20" s="84" customFormat="1" hidden="1" x14ac:dyDescent="0.25">
      <c r="A817" s="9" t="s">
        <v>157</v>
      </c>
      <c r="B817" s="1"/>
      <c r="C817" s="1" t="s">
        <v>880</v>
      </c>
      <c r="D817" s="82">
        <f t="shared" si="158"/>
        <v>61.702127659574472</v>
      </c>
      <c r="E817" s="105">
        <v>42.553191489361701</v>
      </c>
      <c r="F817" s="105">
        <v>19.148936170212767</v>
      </c>
      <c r="G817" s="82">
        <v>23.26</v>
      </c>
      <c r="H817" s="82">
        <v>83.33</v>
      </c>
      <c r="I817" s="12">
        <f t="shared" si="162"/>
        <v>3</v>
      </c>
      <c r="J817" s="12" t="str">
        <f t="shared" si="159"/>
        <v>Đạt</v>
      </c>
      <c r="K817" s="10"/>
      <c r="L817" s="96">
        <f t="shared" si="157"/>
        <v>61.699999999999996</v>
      </c>
      <c r="M817" s="10">
        <v>42.55</v>
      </c>
      <c r="N817" s="10">
        <v>19.149999999999999</v>
      </c>
      <c r="O817" s="82">
        <v>23.26</v>
      </c>
      <c r="P817" s="97">
        <v>86.06557377049181</v>
      </c>
      <c r="Q817" s="12">
        <f t="shared" si="160"/>
        <v>3</v>
      </c>
      <c r="R817" s="12" t="str">
        <f t="shared" si="161"/>
        <v>Đạt</v>
      </c>
      <c r="S817" s="10"/>
      <c r="T817" s="95"/>
    </row>
    <row r="818" spans="1:20" s="84" customFormat="1" hidden="1" x14ac:dyDescent="0.25">
      <c r="A818" s="9" t="s">
        <v>158</v>
      </c>
      <c r="B818" s="1"/>
      <c r="C818" s="1" t="s">
        <v>881</v>
      </c>
      <c r="D818" s="82">
        <f t="shared" si="158"/>
        <v>28.070175438596486</v>
      </c>
      <c r="E818" s="105">
        <v>8.7719298245614024</v>
      </c>
      <c r="F818" s="105">
        <v>19.298245614035086</v>
      </c>
      <c r="G818" s="82">
        <v>45.16</v>
      </c>
      <c r="H818" s="82">
        <v>81.36</v>
      </c>
      <c r="I818" s="12">
        <f t="shared" si="162"/>
        <v>3</v>
      </c>
      <c r="J818" s="12" t="str">
        <f t="shared" si="159"/>
        <v>Đạt</v>
      </c>
      <c r="K818" s="10"/>
      <c r="L818" s="96">
        <f t="shared" si="157"/>
        <v>28.07</v>
      </c>
      <c r="M818" s="10">
        <v>8.77</v>
      </c>
      <c r="N818" s="10">
        <v>19.3</v>
      </c>
      <c r="O818" s="82">
        <v>45.16</v>
      </c>
      <c r="P818" s="97">
        <v>83.333333333333343</v>
      </c>
      <c r="Q818" s="12">
        <f t="shared" si="160"/>
        <v>3</v>
      </c>
      <c r="R818" s="12" t="str">
        <f t="shared" si="161"/>
        <v>Đạt</v>
      </c>
      <c r="S818" s="10"/>
      <c r="T818" s="95"/>
    </row>
    <row r="819" spans="1:20" s="84" customFormat="1" hidden="1" x14ac:dyDescent="0.25">
      <c r="A819" s="9" t="s">
        <v>159</v>
      </c>
      <c r="B819" s="1"/>
      <c r="C819" s="1" t="s">
        <v>882</v>
      </c>
      <c r="D819" s="82">
        <f t="shared" si="158"/>
        <v>38.144329896907216</v>
      </c>
      <c r="E819" s="105">
        <v>24.742268041237114</v>
      </c>
      <c r="F819" s="105">
        <v>13.402061855670103</v>
      </c>
      <c r="G819" s="82">
        <v>52.73</v>
      </c>
      <c r="H819" s="82">
        <v>88.421052631578945</v>
      </c>
      <c r="I819" s="12">
        <f t="shared" si="162"/>
        <v>3</v>
      </c>
      <c r="J819" s="12" t="str">
        <f t="shared" si="159"/>
        <v>Đạt</v>
      </c>
      <c r="K819" s="10"/>
      <c r="L819" s="96">
        <f t="shared" si="157"/>
        <v>38.14</v>
      </c>
      <c r="M819" s="10">
        <v>24.74</v>
      </c>
      <c r="N819" s="10">
        <v>13.4</v>
      </c>
      <c r="O819" s="82">
        <v>52.73</v>
      </c>
      <c r="P819" s="97">
        <v>81.355932203389841</v>
      </c>
      <c r="Q819" s="12">
        <f t="shared" si="160"/>
        <v>3</v>
      </c>
      <c r="R819" s="12" t="str">
        <f t="shared" si="161"/>
        <v>Đạt</v>
      </c>
      <c r="S819" s="10"/>
      <c r="T819" s="95"/>
    </row>
    <row r="820" spans="1:20" s="84" customFormat="1" hidden="1" x14ac:dyDescent="0.25">
      <c r="A820" s="9" t="s">
        <v>160</v>
      </c>
      <c r="B820" s="1"/>
      <c r="C820" s="1" t="s">
        <v>883</v>
      </c>
      <c r="D820" s="82">
        <f t="shared" si="158"/>
        <v>20.588235294117649</v>
      </c>
      <c r="E820" s="105">
        <v>14.705882352941178</v>
      </c>
      <c r="F820" s="105">
        <v>5.8823529411764701</v>
      </c>
      <c r="G820" s="82">
        <v>48.29</v>
      </c>
      <c r="H820" s="82">
        <v>88.06</v>
      </c>
      <c r="I820" s="12">
        <f t="shared" si="162"/>
        <v>3</v>
      </c>
      <c r="J820" s="12" t="str">
        <f t="shared" si="159"/>
        <v>Đạt</v>
      </c>
      <c r="K820" s="10"/>
      <c r="L820" s="96">
        <f t="shared" si="157"/>
        <v>20.59</v>
      </c>
      <c r="M820" s="10">
        <v>14.71</v>
      </c>
      <c r="N820" s="10">
        <v>5.88</v>
      </c>
      <c r="O820" s="82">
        <v>48.29</v>
      </c>
      <c r="P820" s="97">
        <v>88.421052631578945</v>
      </c>
      <c r="Q820" s="12">
        <f t="shared" si="160"/>
        <v>3</v>
      </c>
      <c r="R820" s="12" t="str">
        <f t="shared" si="161"/>
        <v>Đạt</v>
      </c>
      <c r="S820" s="10"/>
      <c r="T820" s="95"/>
    </row>
    <row r="821" spans="1:20" s="84" customFormat="1" hidden="1" x14ac:dyDescent="0.25">
      <c r="A821" s="9" t="s">
        <v>161</v>
      </c>
      <c r="B821" s="1"/>
      <c r="C821" s="1" t="s">
        <v>884</v>
      </c>
      <c r="D821" s="82">
        <f t="shared" si="158"/>
        <v>12.195121951219512</v>
      </c>
      <c r="E821" s="105">
        <v>12.195121951219512</v>
      </c>
      <c r="F821" s="105">
        <v>0</v>
      </c>
      <c r="G821" s="82">
        <v>54.43</v>
      </c>
      <c r="H821" s="82">
        <v>89</v>
      </c>
      <c r="I821" s="12">
        <f t="shared" si="162"/>
        <v>2</v>
      </c>
      <c r="J821" s="12" t="str">
        <f t="shared" si="159"/>
        <v>Đạt</v>
      </c>
      <c r="K821" s="10"/>
      <c r="L821" s="96">
        <f t="shared" si="157"/>
        <v>12.2</v>
      </c>
      <c r="M821" s="10">
        <v>12.2</v>
      </c>
      <c r="N821" s="10">
        <v>0</v>
      </c>
      <c r="O821" s="82">
        <v>54.43</v>
      </c>
      <c r="P821" s="97">
        <v>88.059701492537314</v>
      </c>
      <c r="Q821" s="12">
        <f t="shared" si="160"/>
        <v>2</v>
      </c>
      <c r="R821" s="12" t="str">
        <f t="shared" si="161"/>
        <v>Đạt</v>
      </c>
      <c r="S821" s="10"/>
      <c r="T821" s="95"/>
    </row>
    <row r="822" spans="1:20" s="117" customFormat="1" ht="45" x14ac:dyDescent="0.25">
      <c r="A822" s="87" t="s">
        <v>162</v>
      </c>
      <c r="B822" s="88"/>
      <c r="C822" s="88" t="s">
        <v>885</v>
      </c>
      <c r="D822" s="81">
        <f t="shared" si="158"/>
        <v>10.843373493975903</v>
      </c>
      <c r="E822" s="118">
        <v>10.843373493975903</v>
      </c>
      <c r="F822" s="118">
        <v>0</v>
      </c>
      <c r="G822" s="81">
        <v>55.56</v>
      </c>
      <c r="H822" s="81">
        <v>96.385542168674704</v>
      </c>
      <c r="I822" s="45">
        <f t="shared" si="162"/>
        <v>1</v>
      </c>
      <c r="J822" s="45" t="str">
        <f t="shared" si="159"/>
        <v>Không đạt</v>
      </c>
      <c r="K822" s="43"/>
      <c r="L822" s="61">
        <f t="shared" si="157"/>
        <v>10.84</v>
      </c>
      <c r="M822" s="43">
        <v>10.84</v>
      </c>
      <c r="N822" s="43">
        <v>0</v>
      </c>
      <c r="O822" s="81">
        <v>55.56</v>
      </c>
      <c r="P822" s="62">
        <v>88.8</v>
      </c>
      <c r="Q822" s="45">
        <f t="shared" si="160"/>
        <v>2</v>
      </c>
      <c r="R822" s="45" t="str">
        <f t="shared" si="161"/>
        <v>Đạt</v>
      </c>
      <c r="S822" s="43" t="s">
        <v>1190</v>
      </c>
      <c r="T822" s="86"/>
    </row>
    <row r="823" spans="1:20" s="84" customFormat="1" ht="30" x14ac:dyDescent="0.25">
      <c r="A823" s="9" t="s">
        <v>163</v>
      </c>
      <c r="B823" s="1"/>
      <c r="C823" s="1" t="s">
        <v>886</v>
      </c>
      <c r="D823" s="82">
        <f t="shared" si="158"/>
        <v>8.0459770114942515</v>
      </c>
      <c r="E823" s="105">
        <v>6.8965517241379306</v>
      </c>
      <c r="F823" s="105">
        <v>1.1494252873563218</v>
      </c>
      <c r="G823" s="82">
        <v>44</v>
      </c>
      <c r="H823" s="82">
        <v>81.818181818181813</v>
      </c>
      <c r="I823" s="12">
        <f t="shared" si="162"/>
        <v>2</v>
      </c>
      <c r="J823" s="12" t="str">
        <f t="shared" si="159"/>
        <v>Đạt</v>
      </c>
      <c r="K823" s="10"/>
      <c r="L823" s="96">
        <f t="shared" si="157"/>
        <v>8.0500000000000007</v>
      </c>
      <c r="M823" s="10">
        <v>6.9</v>
      </c>
      <c r="N823" s="10">
        <v>1.1499999999999999</v>
      </c>
      <c r="O823" s="82">
        <v>44</v>
      </c>
      <c r="P823" s="97">
        <v>96.385542168674704</v>
      </c>
      <c r="Q823" s="12">
        <f t="shared" si="160"/>
        <v>1</v>
      </c>
      <c r="R823" s="12" t="str">
        <f t="shared" si="161"/>
        <v>Không đạt</v>
      </c>
      <c r="S823" s="10" t="s">
        <v>1185</v>
      </c>
      <c r="T823" s="95"/>
    </row>
    <row r="824" spans="1:20" s="117" customFormat="1" ht="45" x14ac:dyDescent="0.25">
      <c r="A824" s="87" t="s">
        <v>164</v>
      </c>
      <c r="B824" s="88"/>
      <c r="C824" s="88" t="s">
        <v>887</v>
      </c>
      <c r="D824" s="81">
        <f t="shared" si="158"/>
        <v>5.1546391752577323</v>
      </c>
      <c r="E824" s="118">
        <v>2.061855670103093</v>
      </c>
      <c r="F824" s="118">
        <v>3.0927835051546393</v>
      </c>
      <c r="G824" s="81">
        <v>49.3</v>
      </c>
      <c r="H824" s="81">
        <v>96.88</v>
      </c>
      <c r="I824" s="45">
        <f t="shared" si="162"/>
        <v>1</v>
      </c>
      <c r="J824" s="45" t="str">
        <f t="shared" si="159"/>
        <v>Không đạt</v>
      </c>
      <c r="K824" s="43"/>
      <c r="L824" s="61">
        <f t="shared" si="157"/>
        <v>5.15</v>
      </c>
      <c r="M824" s="43">
        <v>2.06</v>
      </c>
      <c r="N824" s="43">
        <v>3.09</v>
      </c>
      <c r="O824" s="81">
        <v>49.3</v>
      </c>
      <c r="P824" s="62">
        <v>81.818181818181813</v>
      </c>
      <c r="Q824" s="45">
        <f t="shared" si="160"/>
        <v>2</v>
      </c>
      <c r="R824" s="45" t="str">
        <f t="shared" si="161"/>
        <v>Đạt</v>
      </c>
      <c r="S824" s="43" t="s">
        <v>1190</v>
      </c>
      <c r="T824" s="86"/>
    </row>
    <row r="825" spans="1:20" s="84" customFormat="1" hidden="1" x14ac:dyDescent="0.25">
      <c r="A825" s="9" t="s">
        <v>165</v>
      </c>
      <c r="B825" s="1"/>
      <c r="C825" s="1" t="s">
        <v>888</v>
      </c>
      <c r="D825" s="82">
        <f t="shared" si="158"/>
        <v>9.8765432098765427</v>
      </c>
      <c r="E825" s="105">
        <v>6.1728395061728394</v>
      </c>
      <c r="F825" s="105">
        <v>3.7037037037037033</v>
      </c>
      <c r="G825" s="82">
        <v>12.34</v>
      </c>
      <c r="H825" s="82">
        <v>97.44</v>
      </c>
      <c r="I825" s="12">
        <f t="shared" si="162"/>
        <v>1</v>
      </c>
      <c r="J825" s="12" t="str">
        <f t="shared" si="159"/>
        <v>Không đạt</v>
      </c>
      <c r="K825" s="10"/>
      <c r="L825" s="96">
        <f t="shared" si="157"/>
        <v>9.870000000000001</v>
      </c>
      <c r="M825" s="10">
        <v>6.17</v>
      </c>
      <c r="N825" s="10">
        <v>3.7</v>
      </c>
      <c r="O825" s="82">
        <v>12.34</v>
      </c>
      <c r="P825" s="97">
        <v>96.875</v>
      </c>
      <c r="Q825" s="12">
        <f t="shared" si="160"/>
        <v>1</v>
      </c>
      <c r="R825" s="12" t="str">
        <f t="shared" si="161"/>
        <v>Không đạt</v>
      </c>
      <c r="S825" s="10"/>
      <c r="T825" s="95"/>
    </row>
    <row r="826" spans="1:20" s="84" customFormat="1" hidden="1" x14ac:dyDescent="0.25">
      <c r="A826" s="9" t="s">
        <v>166</v>
      </c>
      <c r="B826" s="1"/>
      <c r="C826" s="1" t="s">
        <v>889</v>
      </c>
      <c r="D826" s="82">
        <f t="shared" si="158"/>
        <v>13.684210526315791</v>
      </c>
      <c r="E826" s="105">
        <v>6.3157894736842106</v>
      </c>
      <c r="F826" s="105">
        <v>7.3684210526315796</v>
      </c>
      <c r="G826" s="82">
        <v>48.08</v>
      </c>
      <c r="H826" s="82">
        <v>96.97</v>
      </c>
      <c r="I826" s="12">
        <f t="shared" si="162"/>
        <v>1</v>
      </c>
      <c r="J826" s="12" t="str">
        <f t="shared" si="159"/>
        <v>Không đạt</v>
      </c>
      <c r="K826" s="10"/>
      <c r="L826" s="96">
        <f t="shared" si="157"/>
        <v>13.690000000000001</v>
      </c>
      <c r="M826" s="10">
        <v>6.32</v>
      </c>
      <c r="N826" s="10">
        <v>7.37</v>
      </c>
      <c r="O826" s="82">
        <v>48.08</v>
      </c>
      <c r="P826" s="97">
        <v>97.435897435897431</v>
      </c>
      <c r="Q826" s="12">
        <f t="shared" si="160"/>
        <v>1</v>
      </c>
      <c r="R826" s="12" t="str">
        <f t="shared" si="161"/>
        <v>Không đạt</v>
      </c>
      <c r="S826" s="10"/>
      <c r="T826" s="95"/>
    </row>
    <row r="827" spans="1:20" s="84" customFormat="1" hidden="1" x14ac:dyDescent="0.25">
      <c r="A827" s="9" t="s">
        <v>167</v>
      </c>
      <c r="B827" s="1"/>
      <c r="C827" s="1" t="s">
        <v>890</v>
      </c>
      <c r="D827" s="82">
        <f t="shared" si="158"/>
        <v>2.5862068965517242</v>
      </c>
      <c r="E827" s="105">
        <v>0.86206896551724144</v>
      </c>
      <c r="F827" s="105">
        <v>1.7241379310344829</v>
      </c>
      <c r="G827" s="82">
        <v>53.3</v>
      </c>
      <c r="H827" s="82">
        <v>96.3</v>
      </c>
      <c r="I827" s="12">
        <f t="shared" si="162"/>
        <v>1</v>
      </c>
      <c r="J827" s="12" t="str">
        <f t="shared" si="159"/>
        <v>Không đạt</v>
      </c>
      <c r="K827" s="10"/>
      <c r="L827" s="96">
        <f t="shared" si="157"/>
        <v>2.58</v>
      </c>
      <c r="M827" s="10">
        <v>0.86</v>
      </c>
      <c r="N827" s="10">
        <v>1.72</v>
      </c>
      <c r="O827" s="82">
        <v>53.3</v>
      </c>
      <c r="P827" s="97">
        <v>96.969696969696969</v>
      </c>
      <c r="Q827" s="12">
        <f t="shared" si="160"/>
        <v>1</v>
      </c>
      <c r="R827" s="12" t="str">
        <f t="shared" si="161"/>
        <v>Không đạt</v>
      </c>
      <c r="S827" s="10"/>
      <c r="T827" s="95"/>
    </row>
    <row r="828" spans="1:20" s="84" customFormat="1" hidden="1" x14ac:dyDescent="0.25">
      <c r="A828" s="9" t="s">
        <v>168</v>
      </c>
      <c r="B828" s="1"/>
      <c r="C828" s="1" t="s">
        <v>891</v>
      </c>
      <c r="D828" s="82">
        <f t="shared" si="158"/>
        <v>11.235955056179776</v>
      </c>
      <c r="E828" s="105">
        <v>6.7415730337078648</v>
      </c>
      <c r="F828" s="105">
        <v>4.4943820224719104</v>
      </c>
      <c r="G828" s="82">
        <v>56.85</v>
      </c>
      <c r="H828" s="82">
        <v>98.77</v>
      </c>
      <c r="I828" s="12">
        <f t="shared" si="162"/>
        <v>1</v>
      </c>
      <c r="J828" s="12" t="str">
        <f t="shared" si="159"/>
        <v>Không đạt</v>
      </c>
      <c r="K828" s="10"/>
      <c r="L828" s="96">
        <f t="shared" si="157"/>
        <v>11.23</v>
      </c>
      <c r="M828" s="10">
        <v>6.74</v>
      </c>
      <c r="N828" s="10">
        <v>4.49</v>
      </c>
      <c r="O828" s="82">
        <v>56.85</v>
      </c>
      <c r="P828" s="97">
        <v>96.296296296296291</v>
      </c>
      <c r="Q828" s="12">
        <f t="shared" si="160"/>
        <v>1</v>
      </c>
      <c r="R828" s="12" t="str">
        <f t="shared" si="161"/>
        <v>Không đạt</v>
      </c>
      <c r="S828" s="10"/>
      <c r="T828" s="95"/>
    </row>
    <row r="829" spans="1:20" s="84" customFormat="1" hidden="1" x14ac:dyDescent="0.25">
      <c r="A829" s="9" t="s">
        <v>169</v>
      </c>
      <c r="B829" s="1"/>
      <c r="C829" s="1" t="s">
        <v>892</v>
      </c>
      <c r="D829" s="82">
        <f t="shared" si="158"/>
        <v>14.130434782608695</v>
      </c>
      <c r="E829" s="105">
        <v>7.6086956521739131</v>
      </c>
      <c r="F829" s="105">
        <v>6.5217391304347823</v>
      </c>
      <c r="G829" s="82">
        <v>90.91</v>
      </c>
      <c r="H829" s="82">
        <v>89.01</v>
      </c>
      <c r="I829" s="12">
        <f t="shared" si="162"/>
        <v>1</v>
      </c>
      <c r="J829" s="12" t="str">
        <f t="shared" si="159"/>
        <v>Không đạt</v>
      </c>
      <c r="K829" s="10"/>
      <c r="L829" s="96">
        <f t="shared" si="157"/>
        <v>14.129999999999999</v>
      </c>
      <c r="M829" s="10">
        <v>7.61</v>
      </c>
      <c r="N829" s="10">
        <v>6.52</v>
      </c>
      <c r="O829" s="82">
        <v>90.91</v>
      </c>
      <c r="P829" s="97">
        <v>98.76543209876543</v>
      </c>
      <c r="Q829" s="12">
        <f t="shared" si="160"/>
        <v>0</v>
      </c>
      <c r="R829" s="12" t="str">
        <f t="shared" si="161"/>
        <v>Không đạt</v>
      </c>
      <c r="S829" s="10"/>
      <c r="T829" s="95"/>
    </row>
    <row r="830" spans="1:20" s="117" customFormat="1" ht="45" x14ac:dyDescent="0.25">
      <c r="A830" s="87" t="s">
        <v>170</v>
      </c>
      <c r="B830" s="88"/>
      <c r="C830" s="88" t="s">
        <v>893</v>
      </c>
      <c r="D830" s="81">
        <f t="shared" si="158"/>
        <v>7.4534161490683228</v>
      </c>
      <c r="E830" s="118">
        <v>2.4844720496894408</v>
      </c>
      <c r="F830" s="118">
        <v>4.9689440993788816</v>
      </c>
      <c r="G830" s="81">
        <v>59.57</v>
      </c>
      <c r="H830" s="81">
        <v>96.71</v>
      </c>
      <c r="I830" s="45">
        <f t="shared" si="162"/>
        <v>1</v>
      </c>
      <c r="J830" s="45" t="str">
        <f t="shared" si="159"/>
        <v>Không đạt</v>
      </c>
      <c r="K830" s="43"/>
      <c r="L830" s="61">
        <f t="shared" si="157"/>
        <v>7.4499999999999993</v>
      </c>
      <c r="M830" s="43">
        <v>2.48</v>
      </c>
      <c r="N830" s="43">
        <v>4.97</v>
      </c>
      <c r="O830" s="81">
        <v>59.57</v>
      </c>
      <c r="P830" s="62">
        <v>89.010989010989007</v>
      </c>
      <c r="Q830" s="45">
        <f t="shared" si="160"/>
        <v>2</v>
      </c>
      <c r="R830" s="45" t="str">
        <f t="shared" si="161"/>
        <v>Đạt</v>
      </c>
      <c r="S830" s="43" t="s">
        <v>1190</v>
      </c>
      <c r="T830" s="86"/>
    </row>
    <row r="831" spans="1:20" s="84" customFormat="1" hidden="1" x14ac:dyDescent="0.25">
      <c r="A831" s="9" t="s">
        <v>171</v>
      </c>
      <c r="B831" s="1"/>
      <c r="C831" s="1" t="s">
        <v>894</v>
      </c>
      <c r="D831" s="82">
        <f t="shared" si="158"/>
        <v>8.0808080808080796</v>
      </c>
      <c r="E831" s="105">
        <v>3.0303030303030303</v>
      </c>
      <c r="F831" s="105">
        <v>5.0505050505050502</v>
      </c>
      <c r="G831" s="82">
        <v>66.67</v>
      </c>
      <c r="H831" s="82">
        <v>99</v>
      </c>
      <c r="I831" s="12">
        <f t="shared" si="162"/>
        <v>0</v>
      </c>
      <c r="J831" s="12" t="str">
        <f t="shared" si="159"/>
        <v>Không đạt</v>
      </c>
      <c r="K831" s="10"/>
      <c r="L831" s="96">
        <f t="shared" si="157"/>
        <v>8.08</v>
      </c>
      <c r="M831" s="10">
        <v>3.03</v>
      </c>
      <c r="N831" s="10">
        <v>5.05</v>
      </c>
      <c r="O831" s="82">
        <v>66.67</v>
      </c>
      <c r="P831" s="97">
        <v>96.710526315789465</v>
      </c>
      <c r="Q831" s="12">
        <f t="shared" si="160"/>
        <v>0</v>
      </c>
      <c r="R831" s="12" t="str">
        <f t="shared" si="161"/>
        <v>Không đạt</v>
      </c>
      <c r="S831" s="10"/>
      <c r="T831" s="95"/>
    </row>
    <row r="832" spans="1:20" s="84" customFormat="1" hidden="1" x14ac:dyDescent="0.25">
      <c r="A832" s="9" t="s">
        <v>172</v>
      </c>
      <c r="B832" s="1"/>
      <c r="C832" s="1" t="s">
        <v>895</v>
      </c>
      <c r="D832" s="82">
        <f t="shared" si="158"/>
        <v>7.518796992481203</v>
      </c>
      <c r="E832" s="105">
        <v>4.511278195488722</v>
      </c>
      <c r="F832" s="105">
        <v>3.007518796992481</v>
      </c>
      <c r="G832" s="82">
        <v>50</v>
      </c>
      <c r="H832" s="82">
        <v>97.014925373134318</v>
      </c>
      <c r="I832" s="12">
        <f t="shared" si="162"/>
        <v>1</v>
      </c>
      <c r="J832" s="12" t="str">
        <f t="shared" si="159"/>
        <v>Không đạt</v>
      </c>
      <c r="K832" s="10"/>
      <c r="L832" s="96">
        <f t="shared" si="157"/>
        <v>7.52</v>
      </c>
      <c r="M832" s="10">
        <v>4.51</v>
      </c>
      <c r="N832" s="10">
        <v>3.01</v>
      </c>
      <c r="O832" s="82">
        <v>50</v>
      </c>
      <c r="P832" s="97">
        <v>96.969696969696969</v>
      </c>
      <c r="Q832" s="12">
        <f t="shared" si="160"/>
        <v>1</v>
      </c>
      <c r="R832" s="12" t="str">
        <f t="shared" si="161"/>
        <v>Không đạt</v>
      </c>
      <c r="S832" s="10"/>
      <c r="T832" s="95"/>
    </row>
    <row r="833" spans="1:20" s="84" customFormat="1" hidden="1" x14ac:dyDescent="0.25">
      <c r="A833" s="9" t="s">
        <v>173</v>
      </c>
      <c r="B833" s="1"/>
      <c r="C833" s="1" t="s">
        <v>896</v>
      </c>
      <c r="D833" s="82">
        <f t="shared" si="158"/>
        <v>9.7014925373134311</v>
      </c>
      <c r="E833" s="105">
        <v>4.4776119402985071</v>
      </c>
      <c r="F833" s="105">
        <v>5.2238805970149249</v>
      </c>
      <c r="G833" s="82">
        <v>36.049999999999997</v>
      </c>
      <c r="H833" s="82">
        <v>98.540145985401452</v>
      </c>
      <c r="I833" s="12">
        <f t="shared" si="162"/>
        <v>1</v>
      </c>
      <c r="J833" s="12" t="str">
        <f t="shared" si="159"/>
        <v>Không đạt</v>
      </c>
      <c r="K833" s="10"/>
      <c r="L833" s="96">
        <f t="shared" si="157"/>
        <v>9.6999999999999993</v>
      </c>
      <c r="M833" s="10">
        <v>4.4800000000000004</v>
      </c>
      <c r="N833" s="10">
        <v>5.22</v>
      </c>
      <c r="O833" s="82">
        <v>36.049999999999997</v>
      </c>
      <c r="P833" s="97">
        <v>97.014925373134318</v>
      </c>
      <c r="Q833" s="12">
        <f t="shared" si="160"/>
        <v>1</v>
      </c>
      <c r="R833" s="12" t="str">
        <f t="shared" si="161"/>
        <v>Không đạt</v>
      </c>
      <c r="S833" s="10"/>
      <c r="T833" s="95"/>
    </row>
    <row r="834" spans="1:20" s="84" customFormat="1" hidden="1" x14ac:dyDescent="0.25">
      <c r="A834" s="9" t="s">
        <v>174</v>
      </c>
      <c r="B834" s="1"/>
      <c r="C834" s="1" t="s">
        <v>897</v>
      </c>
      <c r="D834" s="82">
        <f t="shared" si="158"/>
        <v>8.8000000000000007</v>
      </c>
      <c r="E834" s="105">
        <v>4.8</v>
      </c>
      <c r="F834" s="105">
        <v>4</v>
      </c>
      <c r="G834" s="82">
        <v>40</v>
      </c>
      <c r="H834" s="82">
        <v>95.97</v>
      </c>
      <c r="I834" s="12">
        <f t="shared" si="162"/>
        <v>1</v>
      </c>
      <c r="J834" s="12" t="str">
        <f t="shared" si="159"/>
        <v>Không đạt</v>
      </c>
      <c r="K834" s="10"/>
      <c r="L834" s="96">
        <f t="shared" si="157"/>
        <v>8.8000000000000007</v>
      </c>
      <c r="M834" s="10">
        <v>4.8</v>
      </c>
      <c r="N834" s="10">
        <v>4</v>
      </c>
      <c r="O834" s="82">
        <v>40</v>
      </c>
      <c r="P834" s="97">
        <v>98.540145985401452</v>
      </c>
      <c r="Q834" s="12">
        <f t="shared" si="160"/>
        <v>1</v>
      </c>
      <c r="R834" s="12" t="str">
        <f t="shared" si="161"/>
        <v>Không đạt</v>
      </c>
      <c r="S834" s="10"/>
      <c r="T834" s="95"/>
    </row>
    <row r="835" spans="1:20" s="84" customFormat="1" hidden="1" x14ac:dyDescent="0.25">
      <c r="A835" s="9" t="s">
        <v>175</v>
      </c>
      <c r="B835" s="1"/>
      <c r="C835" s="1" t="s">
        <v>898</v>
      </c>
      <c r="D835" s="82">
        <f t="shared" si="158"/>
        <v>16.666666666666664</v>
      </c>
      <c r="E835" s="105">
        <v>8.9743589743589745</v>
      </c>
      <c r="F835" s="105">
        <v>7.6923076923076916</v>
      </c>
      <c r="G835" s="82">
        <v>25.62</v>
      </c>
      <c r="H835" s="82">
        <v>97.402597402597394</v>
      </c>
      <c r="I835" s="12">
        <f t="shared" si="162"/>
        <v>2</v>
      </c>
      <c r="J835" s="12" t="str">
        <f t="shared" si="159"/>
        <v>Đạt</v>
      </c>
      <c r="K835" s="10"/>
      <c r="L835" s="96">
        <f t="shared" si="157"/>
        <v>16.66</v>
      </c>
      <c r="M835" s="10">
        <v>8.9700000000000006</v>
      </c>
      <c r="N835" s="10">
        <v>7.69</v>
      </c>
      <c r="O835" s="82">
        <v>25.62</v>
      </c>
      <c r="P835" s="97">
        <v>95.967741935483872</v>
      </c>
      <c r="Q835" s="12">
        <f t="shared" si="160"/>
        <v>2</v>
      </c>
      <c r="R835" s="12" t="str">
        <f t="shared" si="161"/>
        <v>Đạt</v>
      </c>
      <c r="S835" s="10"/>
      <c r="T835" s="95"/>
    </row>
    <row r="836" spans="1:20" s="84" customFormat="1" hidden="1" x14ac:dyDescent="0.25">
      <c r="A836" s="9" t="s">
        <v>176</v>
      </c>
      <c r="B836" s="1"/>
      <c r="C836" s="1" t="s">
        <v>899</v>
      </c>
      <c r="D836" s="82">
        <f t="shared" si="158"/>
        <v>17.977528089887638</v>
      </c>
      <c r="E836" s="105">
        <v>12.359550561797752</v>
      </c>
      <c r="F836" s="105">
        <v>5.6179775280898872</v>
      </c>
      <c r="G836" s="82">
        <v>31.73</v>
      </c>
      <c r="H836" s="82">
        <v>88.64</v>
      </c>
      <c r="I836" s="12">
        <f t="shared" si="162"/>
        <v>3</v>
      </c>
      <c r="J836" s="12" t="str">
        <f t="shared" si="159"/>
        <v>Đạt</v>
      </c>
      <c r="K836" s="10"/>
      <c r="L836" s="96">
        <f t="shared" si="157"/>
        <v>17.98</v>
      </c>
      <c r="M836" s="10">
        <v>12.36</v>
      </c>
      <c r="N836" s="10">
        <v>5.62</v>
      </c>
      <c r="O836" s="82">
        <v>31.73</v>
      </c>
      <c r="P836" s="97">
        <v>97.402597402597394</v>
      </c>
      <c r="Q836" s="12">
        <f t="shared" si="160"/>
        <v>2</v>
      </c>
      <c r="R836" s="12" t="str">
        <f t="shared" si="161"/>
        <v>Đạt</v>
      </c>
      <c r="S836" s="10"/>
      <c r="T836" s="95"/>
    </row>
    <row r="837" spans="1:20" s="84" customFormat="1" hidden="1" x14ac:dyDescent="0.25">
      <c r="A837" s="9" t="s">
        <v>177</v>
      </c>
      <c r="B837" s="1"/>
      <c r="C837" s="1" t="s">
        <v>900</v>
      </c>
      <c r="D837" s="82">
        <f t="shared" si="158"/>
        <v>13.076923076923077</v>
      </c>
      <c r="E837" s="105">
        <v>6.1538461538461533</v>
      </c>
      <c r="F837" s="105">
        <v>6.9230769230769225</v>
      </c>
      <c r="G837" s="82">
        <v>38.24</v>
      </c>
      <c r="H837" s="82">
        <v>88.72</v>
      </c>
      <c r="I837" s="12">
        <f t="shared" si="162"/>
        <v>2</v>
      </c>
      <c r="J837" s="12" t="str">
        <f t="shared" si="159"/>
        <v>Đạt</v>
      </c>
      <c r="K837" s="10"/>
      <c r="L837" s="96">
        <f t="shared" si="157"/>
        <v>13.07</v>
      </c>
      <c r="M837" s="10">
        <v>6.15</v>
      </c>
      <c r="N837" s="10">
        <v>6.92</v>
      </c>
      <c r="O837" s="82">
        <v>38.24</v>
      </c>
      <c r="P837" s="97">
        <v>88.63636363636364</v>
      </c>
      <c r="Q837" s="12">
        <f t="shared" si="160"/>
        <v>2</v>
      </c>
      <c r="R837" s="12" t="str">
        <f t="shared" si="161"/>
        <v>Đạt</v>
      </c>
      <c r="S837" s="10"/>
      <c r="T837" s="95"/>
    </row>
    <row r="838" spans="1:20" s="84" customFormat="1" hidden="1" x14ac:dyDescent="0.25">
      <c r="A838" s="9" t="s">
        <v>178</v>
      </c>
      <c r="B838" s="1"/>
      <c r="C838" s="1" t="s">
        <v>901</v>
      </c>
      <c r="D838" s="82">
        <f t="shared" si="158"/>
        <v>13.333333333333332</v>
      </c>
      <c r="E838" s="105">
        <v>7.6190476190476186</v>
      </c>
      <c r="F838" s="105">
        <v>5.7142857142857144</v>
      </c>
      <c r="G838" s="82">
        <v>29.97</v>
      </c>
      <c r="H838" s="82">
        <v>82.72727272727272</v>
      </c>
      <c r="I838" s="12">
        <f t="shared" si="162"/>
        <v>2</v>
      </c>
      <c r="J838" s="12" t="str">
        <f t="shared" si="159"/>
        <v>Đạt</v>
      </c>
      <c r="K838" s="10"/>
      <c r="L838" s="96">
        <f t="shared" si="157"/>
        <v>13.33</v>
      </c>
      <c r="M838" s="10">
        <v>7.62</v>
      </c>
      <c r="N838" s="10">
        <v>5.71</v>
      </c>
      <c r="O838" s="82">
        <v>29.97</v>
      </c>
      <c r="P838" s="97">
        <v>88.721804511278194</v>
      </c>
      <c r="Q838" s="12">
        <f t="shared" si="160"/>
        <v>2</v>
      </c>
      <c r="R838" s="12" t="str">
        <f t="shared" si="161"/>
        <v>Đạt</v>
      </c>
      <c r="S838" s="10"/>
      <c r="T838" s="95"/>
    </row>
    <row r="839" spans="1:20" s="84" customFormat="1" hidden="1" x14ac:dyDescent="0.25">
      <c r="A839" s="9" t="s">
        <v>179</v>
      </c>
      <c r="B839" s="1"/>
      <c r="C839" s="1" t="s">
        <v>902</v>
      </c>
      <c r="D839" s="82">
        <f t="shared" si="158"/>
        <v>10.869565217391305</v>
      </c>
      <c r="E839" s="105">
        <v>3.2608695652173911</v>
      </c>
      <c r="F839" s="105">
        <v>7.6086956521739131</v>
      </c>
      <c r="G839" s="82">
        <v>62.5</v>
      </c>
      <c r="H839" s="82">
        <v>97.53</v>
      </c>
      <c r="I839" s="12">
        <f t="shared" si="162"/>
        <v>0</v>
      </c>
      <c r="J839" s="12" t="str">
        <f t="shared" si="159"/>
        <v>Không đạt</v>
      </c>
      <c r="K839" s="10"/>
      <c r="L839" s="96">
        <f t="shared" si="157"/>
        <v>10.870000000000001</v>
      </c>
      <c r="M839" s="10">
        <v>3.26</v>
      </c>
      <c r="N839" s="10">
        <v>7.61</v>
      </c>
      <c r="O839" s="82">
        <v>62.5</v>
      </c>
      <c r="P839" s="97">
        <v>82.72727272727272</v>
      </c>
      <c r="Q839" s="12">
        <f t="shared" si="160"/>
        <v>1</v>
      </c>
      <c r="R839" s="12" t="str">
        <f t="shared" si="161"/>
        <v>Không đạt</v>
      </c>
      <c r="S839" s="10"/>
      <c r="T839" s="95"/>
    </row>
    <row r="840" spans="1:20" s="84" customFormat="1" hidden="1" x14ac:dyDescent="0.25">
      <c r="A840" s="9" t="s">
        <v>180</v>
      </c>
      <c r="B840" s="1"/>
      <c r="C840" s="1" t="s">
        <v>903</v>
      </c>
      <c r="D840" s="82">
        <f t="shared" si="158"/>
        <v>16.666666666666668</v>
      </c>
      <c r="E840" s="105">
        <v>9.7222222222222232</v>
      </c>
      <c r="F840" s="105">
        <v>6.9444444444444446</v>
      </c>
      <c r="G840" s="82">
        <v>50.42</v>
      </c>
      <c r="H840" s="82">
        <v>89.189189189189193</v>
      </c>
      <c r="I840" s="12">
        <f t="shared" si="162"/>
        <v>3</v>
      </c>
      <c r="J840" s="12" t="str">
        <f t="shared" si="159"/>
        <v>Đạt</v>
      </c>
      <c r="K840" s="10"/>
      <c r="L840" s="96">
        <f t="shared" si="157"/>
        <v>16.66</v>
      </c>
      <c r="M840" s="10">
        <v>9.7200000000000006</v>
      </c>
      <c r="N840" s="10">
        <v>6.94</v>
      </c>
      <c r="O840" s="82">
        <v>50.42</v>
      </c>
      <c r="P840" s="97">
        <v>97.53086419753086</v>
      </c>
      <c r="Q840" s="12">
        <f t="shared" si="160"/>
        <v>2</v>
      </c>
      <c r="R840" s="12" t="str">
        <f t="shared" si="161"/>
        <v>Đạt</v>
      </c>
      <c r="S840" s="10"/>
      <c r="T840" s="95"/>
    </row>
    <row r="841" spans="1:20" s="84" customFormat="1" hidden="1" x14ac:dyDescent="0.25">
      <c r="A841" s="9" t="s">
        <v>181</v>
      </c>
      <c r="B841" s="1"/>
      <c r="C841" s="1" t="s">
        <v>904</v>
      </c>
      <c r="D841" s="82">
        <f t="shared" si="158"/>
        <v>14.516129032258064</v>
      </c>
      <c r="E841" s="105">
        <v>8.064516129032258</v>
      </c>
      <c r="F841" s="105">
        <v>6.4516129032258061</v>
      </c>
      <c r="G841" s="82">
        <v>88.89</v>
      </c>
      <c r="H841" s="82">
        <v>94.957983193277315</v>
      </c>
      <c r="I841" s="12">
        <f t="shared" si="162"/>
        <v>0</v>
      </c>
      <c r="J841" s="12" t="str">
        <f t="shared" si="159"/>
        <v>Không đạt</v>
      </c>
      <c r="K841" s="10"/>
      <c r="L841" s="96">
        <f t="shared" si="157"/>
        <v>14.510000000000002</v>
      </c>
      <c r="M841" s="10">
        <v>8.06</v>
      </c>
      <c r="N841" s="10">
        <v>6.45</v>
      </c>
      <c r="O841" s="82">
        <v>88.89</v>
      </c>
      <c r="P841" s="97">
        <v>89.189189189189193</v>
      </c>
      <c r="Q841" s="12">
        <f t="shared" si="160"/>
        <v>1</v>
      </c>
      <c r="R841" s="12" t="str">
        <f t="shared" si="161"/>
        <v>Không đạt</v>
      </c>
      <c r="S841" s="10"/>
      <c r="T841" s="95"/>
    </row>
    <row r="842" spans="1:20" s="84" customFormat="1" hidden="1" x14ac:dyDescent="0.25">
      <c r="A842" s="9" t="s">
        <v>182</v>
      </c>
      <c r="B842" s="1"/>
      <c r="C842" s="1" t="s">
        <v>905</v>
      </c>
      <c r="D842" s="82">
        <f t="shared" si="158"/>
        <v>9.4827586206896548</v>
      </c>
      <c r="E842" s="105">
        <v>6.8965517241379306</v>
      </c>
      <c r="F842" s="105">
        <v>2.5862068965517242</v>
      </c>
      <c r="G842" s="82">
        <v>49.11</v>
      </c>
      <c r="H842" s="82">
        <v>97.46</v>
      </c>
      <c r="I842" s="12">
        <f t="shared" si="162"/>
        <v>1</v>
      </c>
      <c r="J842" s="12" t="str">
        <f t="shared" si="159"/>
        <v>Không đạt</v>
      </c>
      <c r="K842" s="10"/>
      <c r="L842" s="96">
        <f t="shared" si="157"/>
        <v>9.49</v>
      </c>
      <c r="M842" s="10">
        <v>6.9</v>
      </c>
      <c r="N842" s="10">
        <v>2.59</v>
      </c>
      <c r="O842" s="82">
        <v>49.11</v>
      </c>
      <c r="P842" s="97">
        <v>94.957983193277315</v>
      </c>
      <c r="Q842" s="12">
        <f t="shared" si="160"/>
        <v>1</v>
      </c>
      <c r="R842" s="12" t="str">
        <f t="shared" si="161"/>
        <v>Không đạt</v>
      </c>
      <c r="S842" s="10"/>
      <c r="T842" s="95"/>
    </row>
    <row r="843" spans="1:20" s="84" customFormat="1" hidden="1" x14ac:dyDescent="0.25">
      <c r="A843" s="9" t="s">
        <v>183</v>
      </c>
      <c r="B843" s="1"/>
      <c r="C843" s="1" t="s">
        <v>906</v>
      </c>
      <c r="D843" s="82">
        <f t="shared" si="158"/>
        <v>13.333333333333336</v>
      </c>
      <c r="E843" s="105">
        <v>4.666666666666667</v>
      </c>
      <c r="F843" s="105">
        <v>8.6666666666666679</v>
      </c>
      <c r="G843" s="82">
        <v>45.26</v>
      </c>
      <c r="H843" s="82">
        <v>91.025641025641022</v>
      </c>
      <c r="I843" s="12">
        <f t="shared" si="162"/>
        <v>1</v>
      </c>
      <c r="J843" s="12" t="str">
        <f t="shared" si="159"/>
        <v>Không đạt</v>
      </c>
      <c r="K843" s="10"/>
      <c r="L843" s="96">
        <f t="shared" si="157"/>
        <v>13.34</v>
      </c>
      <c r="M843" s="10">
        <v>4.67</v>
      </c>
      <c r="N843" s="10">
        <v>8.67</v>
      </c>
      <c r="O843" s="82">
        <v>45.26</v>
      </c>
      <c r="P843" s="97">
        <v>97.457627118644069</v>
      </c>
      <c r="Q843" s="12">
        <f t="shared" si="160"/>
        <v>1</v>
      </c>
      <c r="R843" s="12" t="str">
        <f t="shared" si="161"/>
        <v>Không đạt</v>
      </c>
      <c r="S843" s="10"/>
      <c r="T843" s="95"/>
    </row>
    <row r="844" spans="1:20" s="84" customFormat="1" hidden="1" x14ac:dyDescent="0.25">
      <c r="A844" s="9" t="s">
        <v>184</v>
      </c>
      <c r="B844" s="1"/>
      <c r="C844" s="1" t="s">
        <v>428</v>
      </c>
      <c r="D844" s="82">
        <f t="shared" si="158"/>
        <v>13.559322033898304</v>
      </c>
      <c r="E844" s="105">
        <v>9.3220338983050848</v>
      </c>
      <c r="F844" s="105">
        <v>4.2372881355932197</v>
      </c>
      <c r="G844" s="82">
        <v>41.67</v>
      </c>
      <c r="H844" s="82">
        <v>94.488188976377955</v>
      </c>
      <c r="I844" s="12">
        <f t="shared" si="162"/>
        <v>1</v>
      </c>
      <c r="J844" s="12" t="str">
        <f t="shared" si="159"/>
        <v>Không đạt</v>
      </c>
      <c r="K844" s="10"/>
      <c r="L844" s="96">
        <f t="shared" si="157"/>
        <v>13.56</v>
      </c>
      <c r="M844" s="10">
        <v>9.32</v>
      </c>
      <c r="N844" s="10">
        <v>4.24</v>
      </c>
      <c r="O844" s="82">
        <v>41.67</v>
      </c>
      <c r="P844" s="97">
        <v>91.025641025641022</v>
      </c>
      <c r="Q844" s="12">
        <f t="shared" si="160"/>
        <v>1</v>
      </c>
      <c r="R844" s="12" t="str">
        <f t="shared" si="161"/>
        <v>Không đạt</v>
      </c>
      <c r="S844" s="10"/>
      <c r="T844" s="95"/>
    </row>
    <row r="845" spans="1:20" s="84" customFormat="1" hidden="1" x14ac:dyDescent="0.25">
      <c r="A845" s="9" t="s">
        <v>185</v>
      </c>
      <c r="B845" s="1"/>
      <c r="C845" s="1" t="s">
        <v>907</v>
      </c>
      <c r="D845" s="82">
        <f t="shared" si="158"/>
        <v>9.5588235294117645</v>
      </c>
      <c r="E845" s="105">
        <v>6.6176470588235299</v>
      </c>
      <c r="F845" s="105">
        <v>2.9411764705882351</v>
      </c>
      <c r="G845" s="82">
        <v>68.319999999999993</v>
      </c>
      <c r="H845" s="82">
        <v>96</v>
      </c>
      <c r="I845" s="12">
        <f t="shared" si="162"/>
        <v>0</v>
      </c>
      <c r="J845" s="12" t="str">
        <f t="shared" si="159"/>
        <v>Không đạt</v>
      </c>
      <c r="K845" s="10"/>
      <c r="L845" s="96">
        <f t="shared" si="157"/>
        <v>9.56</v>
      </c>
      <c r="M845" s="10">
        <v>6.62</v>
      </c>
      <c r="N845" s="10">
        <v>2.94</v>
      </c>
      <c r="O845" s="82">
        <v>68.319999999999993</v>
      </c>
      <c r="P845" s="97">
        <v>94.488188976377955</v>
      </c>
      <c r="Q845" s="12">
        <f t="shared" si="160"/>
        <v>0</v>
      </c>
      <c r="R845" s="12" t="str">
        <f t="shared" si="161"/>
        <v>Không đạt</v>
      </c>
      <c r="S845" s="10"/>
      <c r="T845" s="95"/>
    </row>
    <row r="846" spans="1:20" s="84" customFormat="1" hidden="1" x14ac:dyDescent="0.25">
      <c r="A846" s="9" t="s">
        <v>186</v>
      </c>
      <c r="B846" s="1"/>
      <c r="C846" s="1" t="s">
        <v>908</v>
      </c>
      <c r="D846" s="82">
        <f t="shared" si="158"/>
        <v>30.120481927710841</v>
      </c>
      <c r="E846" s="105">
        <v>9.6385542168674707</v>
      </c>
      <c r="F846" s="105">
        <v>20.481927710843372</v>
      </c>
      <c r="G846" s="82">
        <v>52.86</v>
      </c>
      <c r="H846" s="82">
        <v>87.36</v>
      </c>
      <c r="I846" s="12">
        <f t="shared" si="162"/>
        <v>3</v>
      </c>
      <c r="J846" s="12" t="str">
        <f t="shared" si="159"/>
        <v>Đạt</v>
      </c>
      <c r="K846" s="10"/>
      <c r="L846" s="96">
        <f t="shared" si="157"/>
        <v>30.12</v>
      </c>
      <c r="M846" s="10">
        <v>9.64</v>
      </c>
      <c r="N846" s="10">
        <v>20.48</v>
      </c>
      <c r="O846" s="82">
        <v>52.86</v>
      </c>
      <c r="P846" s="97">
        <v>96</v>
      </c>
      <c r="Q846" s="12">
        <f t="shared" si="160"/>
        <v>2</v>
      </c>
      <c r="R846" s="12" t="str">
        <f t="shared" si="161"/>
        <v>Đạt</v>
      </c>
      <c r="S846" s="10"/>
      <c r="T846" s="95"/>
    </row>
    <row r="847" spans="1:20" s="84" customFormat="1" hidden="1" x14ac:dyDescent="0.25">
      <c r="A847" s="9" t="s">
        <v>187</v>
      </c>
      <c r="B847" s="1"/>
      <c r="C847" s="1" t="s">
        <v>909</v>
      </c>
      <c r="D847" s="82">
        <f t="shared" si="158"/>
        <v>19.753086419753085</v>
      </c>
      <c r="E847" s="105">
        <v>8.6419753086419746</v>
      </c>
      <c r="F847" s="105">
        <v>11.111111111111111</v>
      </c>
      <c r="G847" s="82">
        <v>53.85</v>
      </c>
      <c r="H847" s="82">
        <v>88.89</v>
      </c>
      <c r="I847" s="12">
        <f t="shared" si="162"/>
        <v>3</v>
      </c>
      <c r="J847" s="12" t="str">
        <f t="shared" si="159"/>
        <v>Đạt</v>
      </c>
      <c r="K847" s="10"/>
      <c r="L847" s="96">
        <f t="shared" si="157"/>
        <v>19.75</v>
      </c>
      <c r="M847" s="10">
        <v>8.64</v>
      </c>
      <c r="N847" s="10">
        <v>11.11</v>
      </c>
      <c r="O847" s="82">
        <v>53.85</v>
      </c>
      <c r="P847" s="97">
        <v>87.356321839080465</v>
      </c>
      <c r="Q847" s="12">
        <f t="shared" si="160"/>
        <v>3</v>
      </c>
      <c r="R847" s="12" t="str">
        <f t="shared" si="161"/>
        <v>Đạt</v>
      </c>
      <c r="S847" s="10"/>
      <c r="T847" s="95"/>
    </row>
    <row r="848" spans="1:20" s="84" customFormat="1" hidden="1" x14ac:dyDescent="0.25">
      <c r="A848" s="9" t="s">
        <v>188</v>
      </c>
      <c r="B848" s="1"/>
      <c r="C848" s="1" t="s">
        <v>910</v>
      </c>
      <c r="D848" s="82">
        <f t="shared" si="158"/>
        <v>16.326530612244898</v>
      </c>
      <c r="E848" s="105">
        <v>9.183673469387756</v>
      </c>
      <c r="F848" s="105">
        <v>7.1428571428571423</v>
      </c>
      <c r="G848" s="82">
        <v>68.25</v>
      </c>
      <c r="H848" s="82">
        <v>87</v>
      </c>
      <c r="I848" s="12">
        <f t="shared" si="162"/>
        <v>2</v>
      </c>
      <c r="J848" s="12" t="str">
        <f t="shared" si="159"/>
        <v>Đạt</v>
      </c>
      <c r="K848" s="10"/>
      <c r="L848" s="96">
        <f t="shared" si="157"/>
        <v>16.32</v>
      </c>
      <c r="M848" s="10">
        <v>9.18</v>
      </c>
      <c r="N848" s="10">
        <v>7.14</v>
      </c>
      <c r="O848" s="82">
        <v>68.25</v>
      </c>
      <c r="P848" s="97">
        <v>88.888888888888886</v>
      </c>
      <c r="Q848" s="12">
        <f t="shared" si="160"/>
        <v>2</v>
      </c>
      <c r="R848" s="12" t="str">
        <f t="shared" si="161"/>
        <v>Đạt</v>
      </c>
      <c r="S848" s="10"/>
      <c r="T848" s="95"/>
    </row>
    <row r="849" spans="1:20" s="117" customFormat="1" ht="45" x14ac:dyDescent="0.25">
      <c r="A849" s="87" t="s">
        <v>189</v>
      </c>
      <c r="B849" s="88"/>
      <c r="C849" s="88" t="s">
        <v>911</v>
      </c>
      <c r="D849" s="81">
        <f t="shared" si="158"/>
        <v>16.393442622950822</v>
      </c>
      <c r="E849" s="118">
        <v>3.278688524590164</v>
      </c>
      <c r="F849" s="118">
        <v>13.114754098360656</v>
      </c>
      <c r="G849" s="81">
        <v>60</v>
      </c>
      <c r="H849" s="81">
        <v>100</v>
      </c>
      <c r="I849" s="45">
        <f t="shared" si="162"/>
        <v>1</v>
      </c>
      <c r="J849" s="45" t="str">
        <f t="shared" si="159"/>
        <v>Không đạt</v>
      </c>
      <c r="K849" s="43"/>
      <c r="L849" s="61">
        <f t="shared" si="157"/>
        <v>16.39</v>
      </c>
      <c r="M849" s="43">
        <v>3.28</v>
      </c>
      <c r="N849" s="43">
        <v>13.11</v>
      </c>
      <c r="O849" s="81">
        <v>60</v>
      </c>
      <c r="P849" s="62">
        <v>87.356321839080465</v>
      </c>
      <c r="Q849" s="45">
        <f t="shared" si="160"/>
        <v>2</v>
      </c>
      <c r="R849" s="45" t="str">
        <f t="shared" si="161"/>
        <v>Đạt</v>
      </c>
      <c r="S849" s="43" t="s">
        <v>1190</v>
      </c>
      <c r="T849" s="86"/>
    </row>
    <row r="850" spans="1:20" s="84" customFormat="1" hidden="1" x14ac:dyDescent="0.25">
      <c r="A850" s="9" t="s">
        <v>190</v>
      </c>
      <c r="B850" s="1"/>
      <c r="C850" s="1" t="s">
        <v>930</v>
      </c>
      <c r="D850" s="82">
        <f t="shared" si="158"/>
        <v>0</v>
      </c>
      <c r="E850" s="105">
        <v>0</v>
      </c>
      <c r="F850" s="105">
        <v>0</v>
      </c>
      <c r="G850" s="82">
        <v>60</v>
      </c>
      <c r="H850" s="82">
        <v>96.15</v>
      </c>
      <c r="I850" s="12">
        <f t="shared" si="162"/>
        <v>0</v>
      </c>
      <c r="J850" s="12" t="str">
        <f t="shared" si="159"/>
        <v>Không đạt</v>
      </c>
      <c r="K850" s="10"/>
      <c r="L850" s="96">
        <f t="shared" si="157"/>
        <v>0</v>
      </c>
      <c r="M850" s="10">
        <v>0</v>
      </c>
      <c r="N850" s="10">
        <v>0</v>
      </c>
      <c r="O850" s="82">
        <v>60</v>
      </c>
      <c r="P850" s="97">
        <v>100</v>
      </c>
      <c r="Q850" s="12">
        <f t="shared" si="160"/>
        <v>0</v>
      </c>
      <c r="R850" s="12" t="str">
        <f t="shared" si="161"/>
        <v>Không đạt</v>
      </c>
      <c r="S850" s="10"/>
      <c r="T850" s="95"/>
    </row>
    <row r="851" spans="1:20" s="84" customFormat="1" hidden="1" x14ac:dyDescent="0.25">
      <c r="A851" s="9" t="s">
        <v>191</v>
      </c>
      <c r="B851" s="1"/>
      <c r="C851" s="1" t="s">
        <v>912</v>
      </c>
      <c r="D851" s="82">
        <f t="shared" si="158"/>
        <v>8.3916083916083917</v>
      </c>
      <c r="E851" s="105">
        <v>2.7972027972027971</v>
      </c>
      <c r="F851" s="105">
        <v>5.5944055944055942</v>
      </c>
      <c r="G851" s="82">
        <v>69.73</v>
      </c>
      <c r="H851" s="82">
        <v>87.837837837837839</v>
      </c>
      <c r="I851" s="12">
        <f t="shared" si="162"/>
        <v>1</v>
      </c>
      <c r="J851" s="12" t="str">
        <f t="shared" si="159"/>
        <v>Không đạt</v>
      </c>
      <c r="K851" s="10"/>
      <c r="L851" s="96">
        <f t="shared" si="157"/>
        <v>8.39</v>
      </c>
      <c r="M851" s="10">
        <v>2.8</v>
      </c>
      <c r="N851" s="10">
        <v>5.59</v>
      </c>
      <c r="O851" s="82">
        <v>69.73</v>
      </c>
      <c r="P851" s="97">
        <v>96.153846153846146</v>
      </c>
      <c r="Q851" s="12">
        <f t="shared" si="160"/>
        <v>0</v>
      </c>
      <c r="R851" s="12" t="str">
        <f t="shared" si="161"/>
        <v>Không đạt</v>
      </c>
      <c r="S851" s="10"/>
      <c r="T851" s="95"/>
    </row>
    <row r="852" spans="1:20" s="117" customFormat="1" ht="45" x14ac:dyDescent="0.25">
      <c r="A852" s="87" t="s">
        <v>192</v>
      </c>
      <c r="B852" s="88"/>
      <c r="C852" s="88" t="s">
        <v>913</v>
      </c>
      <c r="D852" s="81">
        <f t="shared" si="158"/>
        <v>8.5714285714285712</v>
      </c>
      <c r="E852" s="118">
        <v>4.7619047619047619</v>
      </c>
      <c r="F852" s="118">
        <v>3.8095238095238098</v>
      </c>
      <c r="G852" s="81">
        <v>50</v>
      </c>
      <c r="H852" s="81">
        <v>100</v>
      </c>
      <c r="I852" s="45">
        <f t="shared" si="162"/>
        <v>1</v>
      </c>
      <c r="J852" s="45" t="str">
        <f t="shared" si="159"/>
        <v>Không đạt</v>
      </c>
      <c r="K852" s="43"/>
      <c r="L852" s="61">
        <f t="shared" ref="L852:L867" si="163">M852+N852</f>
        <v>8.57</v>
      </c>
      <c r="M852" s="43">
        <v>4.76</v>
      </c>
      <c r="N852" s="43">
        <v>3.81</v>
      </c>
      <c r="O852" s="81">
        <v>50</v>
      </c>
      <c r="P852" s="62">
        <v>87.837837837837839</v>
      </c>
      <c r="Q852" s="45">
        <f t="shared" ref="Q852:Q867" si="164">SUM((IF(L852&gt;=16.24,1,0))+(IF(O852&lt;60,1,0))+(IF(P852&lt;90,1,0)))</f>
        <v>2</v>
      </c>
      <c r="R852" s="45" t="str">
        <f t="shared" ref="R852:R867" si="165">IF(Q852&gt;=2,"Đạt","Không đạt")</f>
        <v>Đạt</v>
      </c>
      <c r="S852" s="43" t="s">
        <v>1190</v>
      </c>
      <c r="T852" s="86"/>
    </row>
    <row r="853" spans="1:20" s="84" customFormat="1" hidden="1" x14ac:dyDescent="0.25">
      <c r="A853" s="9" t="s">
        <v>193</v>
      </c>
      <c r="B853" s="1"/>
      <c r="C853" s="1" t="s">
        <v>914</v>
      </c>
      <c r="D853" s="82">
        <f t="shared" si="158"/>
        <v>10.975609756097562</v>
      </c>
      <c r="E853" s="105">
        <v>4.8780487804878048</v>
      </c>
      <c r="F853" s="105">
        <v>6.0975609756097562</v>
      </c>
      <c r="G853" s="82">
        <v>69.44</v>
      </c>
      <c r="H853" s="82">
        <v>96.43</v>
      </c>
      <c r="I853" s="12">
        <f t="shared" si="162"/>
        <v>0</v>
      </c>
      <c r="J853" s="12" t="str">
        <f t="shared" si="159"/>
        <v>Không đạt</v>
      </c>
      <c r="K853" s="10"/>
      <c r="L853" s="96">
        <f t="shared" si="163"/>
        <v>10.98</v>
      </c>
      <c r="M853" s="10">
        <v>4.88</v>
      </c>
      <c r="N853" s="10">
        <v>6.1</v>
      </c>
      <c r="O853" s="82">
        <v>69.44</v>
      </c>
      <c r="P853" s="97">
        <v>100</v>
      </c>
      <c r="Q853" s="12">
        <f t="shared" si="164"/>
        <v>0</v>
      </c>
      <c r="R853" s="12" t="str">
        <f t="shared" si="165"/>
        <v>Không đạt</v>
      </c>
      <c r="S853" s="10"/>
      <c r="T853" s="95"/>
    </row>
    <row r="854" spans="1:20" s="84" customFormat="1" hidden="1" x14ac:dyDescent="0.25">
      <c r="A854" s="9" t="s">
        <v>194</v>
      </c>
      <c r="B854" s="1"/>
      <c r="C854" s="1" t="s">
        <v>915</v>
      </c>
      <c r="D854" s="82">
        <f t="shared" si="158"/>
        <v>0</v>
      </c>
      <c r="E854" s="105">
        <v>0</v>
      </c>
      <c r="F854" s="105">
        <v>0</v>
      </c>
      <c r="G854" s="82">
        <v>100</v>
      </c>
      <c r="H854" s="82">
        <v>96.202531645569621</v>
      </c>
      <c r="I854" s="12">
        <f t="shared" si="162"/>
        <v>0</v>
      </c>
      <c r="J854" s="12" t="str">
        <f t="shared" si="159"/>
        <v>Không đạt</v>
      </c>
      <c r="K854" s="10"/>
      <c r="L854" s="96">
        <f t="shared" si="163"/>
        <v>0</v>
      </c>
      <c r="M854" s="10">
        <v>0</v>
      </c>
      <c r="N854" s="10">
        <v>0</v>
      </c>
      <c r="O854" s="82">
        <v>100</v>
      </c>
      <c r="P854" s="97">
        <v>96.428571428571431</v>
      </c>
      <c r="Q854" s="12">
        <f t="shared" si="164"/>
        <v>0</v>
      </c>
      <c r="R854" s="12" t="str">
        <f t="shared" si="165"/>
        <v>Không đạt</v>
      </c>
      <c r="S854" s="10"/>
      <c r="T854" s="95"/>
    </row>
    <row r="855" spans="1:20" s="84" customFormat="1" hidden="1" x14ac:dyDescent="0.25">
      <c r="A855" s="9" t="s">
        <v>195</v>
      </c>
      <c r="B855" s="1"/>
      <c r="C855" s="1" t="s">
        <v>916</v>
      </c>
      <c r="D855" s="82">
        <f t="shared" si="158"/>
        <v>16.666666666666668</v>
      </c>
      <c r="E855" s="105">
        <v>8.8888888888888893</v>
      </c>
      <c r="F855" s="105">
        <v>7.7777777777777777</v>
      </c>
      <c r="G855" s="82">
        <v>51.18</v>
      </c>
      <c r="H855" s="82">
        <v>84.62</v>
      </c>
      <c r="I855" s="12">
        <f t="shared" si="162"/>
        <v>3</v>
      </c>
      <c r="J855" s="12" t="str">
        <f t="shared" si="159"/>
        <v>Đạt</v>
      </c>
      <c r="K855" s="10"/>
      <c r="L855" s="96">
        <f t="shared" si="163"/>
        <v>16.670000000000002</v>
      </c>
      <c r="M855" s="10">
        <v>8.89</v>
      </c>
      <c r="N855" s="10">
        <v>7.78</v>
      </c>
      <c r="O855" s="82">
        <v>51.18</v>
      </c>
      <c r="P855" s="97">
        <v>96.202531645569621</v>
      </c>
      <c r="Q855" s="12">
        <f t="shared" si="164"/>
        <v>2</v>
      </c>
      <c r="R855" s="12" t="str">
        <f t="shared" si="165"/>
        <v>Đạt</v>
      </c>
      <c r="S855" s="10"/>
      <c r="T855" s="95"/>
    </row>
    <row r="856" spans="1:20" s="84" customFormat="1" hidden="1" x14ac:dyDescent="0.25">
      <c r="A856" s="9" t="s">
        <v>196</v>
      </c>
      <c r="B856" s="1"/>
      <c r="C856" s="1" t="s">
        <v>917</v>
      </c>
      <c r="D856" s="82">
        <f>E856+F856</f>
        <v>15.517241379310345</v>
      </c>
      <c r="E856" s="105">
        <v>5.1724137931034484</v>
      </c>
      <c r="F856" s="105">
        <v>10.344827586206897</v>
      </c>
      <c r="G856" s="82">
        <v>72.7</v>
      </c>
      <c r="H856" s="82">
        <v>86.44</v>
      </c>
      <c r="I856" s="12">
        <f t="shared" si="162"/>
        <v>1</v>
      </c>
      <c r="J856" s="12" t="str">
        <f t="shared" si="159"/>
        <v>Không đạt</v>
      </c>
      <c r="K856" s="10"/>
      <c r="L856" s="96">
        <f t="shared" si="163"/>
        <v>15.51</v>
      </c>
      <c r="M856" s="10">
        <v>5.17</v>
      </c>
      <c r="N856" s="10">
        <v>10.34</v>
      </c>
      <c r="O856" s="82">
        <v>72.7</v>
      </c>
      <c r="P856" s="97">
        <v>84.615384615384613</v>
      </c>
      <c r="Q856" s="12">
        <f t="shared" si="164"/>
        <v>1</v>
      </c>
      <c r="R856" s="12" t="str">
        <f t="shared" si="165"/>
        <v>Không đạt</v>
      </c>
      <c r="S856" s="10"/>
      <c r="T856" s="95"/>
    </row>
    <row r="857" spans="1:20" s="84" customFormat="1" hidden="1" x14ac:dyDescent="0.25">
      <c r="A857" s="9" t="s">
        <v>197</v>
      </c>
      <c r="B857" s="1"/>
      <c r="C857" s="1" t="s">
        <v>918</v>
      </c>
      <c r="D857" s="82">
        <f>E857+F857</f>
        <v>16.666666666666664</v>
      </c>
      <c r="E857" s="105">
        <v>4.6296296296296298</v>
      </c>
      <c r="F857" s="105">
        <v>12.037037037037036</v>
      </c>
      <c r="G857" s="82">
        <v>53.9</v>
      </c>
      <c r="H857" s="82">
        <v>88.181818181818173</v>
      </c>
      <c r="I857" s="12">
        <f t="shared" si="162"/>
        <v>3</v>
      </c>
      <c r="J857" s="12" t="str">
        <f t="shared" si="159"/>
        <v>Đạt</v>
      </c>
      <c r="K857" s="10"/>
      <c r="L857" s="96">
        <f t="shared" si="163"/>
        <v>16.669999999999998</v>
      </c>
      <c r="M857" s="10">
        <v>4.63</v>
      </c>
      <c r="N857" s="10">
        <v>12.04</v>
      </c>
      <c r="O857" s="82">
        <v>53.9</v>
      </c>
      <c r="P857" s="97">
        <v>93.75</v>
      </c>
      <c r="Q857" s="12">
        <f t="shared" si="164"/>
        <v>2</v>
      </c>
      <c r="R857" s="12" t="str">
        <f t="shared" si="165"/>
        <v>Đạt</v>
      </c>
      <c r="S857" s="10"/>
      <c r="T857" s="95"/>
    </row>
    <row r="858" spans="1:20" s="117" customFormat="1" ht="45" x14ac:dyDescent="0.25">
      <c r="A858" s="87" t="s">
        <v>198</v>
      </c>
      <c r="B858" s="88"/>
      <c r="C858" s="88" t="s">
        <v>919</v>
      </c>
      <c r="D858" s="81">
        <f t="shared" si="158"/>
        <v>13.861386138613859</v>
      </c>
      <c r="E858" s="118">
        <v>4.9504950495049505</v>
      </c>
      <c r="F858" s="118">
        <v>8.9108910891089099</v>
      </c>
      <c r="G858" s="81">
        <v>42.95</v>
      </c>
      <c r="H858" s="81">
        <v>96.19047619047619</v>
      </c>
      <c r="I858" s="45">
        <f t="shared" si="162"/>
        <v>1</v>
      </c>
      <c r="J858" s="45" t="str">
        <f t="shared" si="159"/>
        <v>Không đạt</v>
      </c>
      <c r="K858" s="43"/>
      <c r="L858" s="61">
        <f t="shared" si="163"/>
        <v>13.86</v>
      </c>
      <c r="M858" s="43">
        <v>4.95</v>
      </c>
      <c r="N858" s="43">
        <v>8.91</v>
      </c>
      <c r="O858" s="81">
        <v>42.95</v>
      </c>
      <c r="P858" s="62">
        <v>88.181818181818173</v>
      </c>
      <c r="Q858" s="45">
        <f t="shared" si="164"/>
        <v>2</v>
      </c>
      <c r="R858" s="45" t="str">
        <f>IF(Q858&gt;=2,"Đạt","Không đạt")</f>
        <v>Đạt</v>
      </c>
      <c r="S858" s="43" t="s">
        <v>1190</v>
      </c>
      <c r="T858" s="86"/>
    </row>
    <row r="859" spans="1:20" s="84" customFormat="1" hidden="1" x14ac:dyDescent="0.25">
      <c r="A859" s="9" t="s">
        <v>199</v>
      </c>
      <c r="B859" s="1"/>
      <c r="C859" s="1" t="s">
        <v>920</v>
      </c>
      <c r="D859" s="82">
        <f t="shared" si="158"/>
        <v>4.6511627906976747</v>
      </c>
      <c r="E859" s="105">
        <v>2.3255813953488373</v>
      </c>
      <c r="F859" s="105">
        <v>2.3255813953488373</v>
      </c>
      <c r="G859" s="82">
        <v>50</v>
      </c>
      <c r="H859" s="82">
        <v>98.33</v>
      </c>
      <c r="I859" s="12">
        <f t="shared" si="162"/>
        <v>1</v>
      </c>
      <c r="J859" s="12" t="str">
        <f t="shared" si="159"/>
        <v>Không đạt</v>
      </c>
      <c r="K859" s="10"/>
      <c r="L859" s="96">
        <f t="shared" si="163"/>
        <v>4.66</v>
      </c>
      <c r="M859" s="10">
        <v>2.33</v>
      </c>
      <c r="N859" s="10">
        <v>2.33</v>
      </c>
      <c r="O859" s="82">
        <v>50</v>
      </c>
      <c r="P859" s="97">
        <v>96.19047619047619</v>
      </c>
      <c r="Q859" s="12">
        <f t="shared" si="164"/>
        <v>1</v>
      </c>
      <c r="R859" s="12" t="str">
        <f t="shared" si="165"/>
        <v>Không đạt</v>
      </c>
      <c r="S859" s="10"/>
      <c r="T859" s="95"/>
    </row>
    <row r="860" spans="1:20" s="84" customFormat="1" ht="30" x14ac:dyDescent="0.25">
      <c r="A860" s="9" t="s">
        <v>200</v>
      </c>
      <c r="B860" s="1"/>
      <c r="C860" s="1" t="s">
        <v>921</v>
      </c>
      <c r="D860" s="82">
        <f t="shared" si="158"/>
        <v>8.5365853658536572</v>
      </c>
      <c r="E860" s="105">
        <v>4.8780487804878048</v>
      </c>
      <c r="F860" s="105">
        <v>3.6585365853658534</v>
      </c>
      <c r="G860" s="82">
        <v>24.84</v>
      </c>
      <c r="H860" s="82">
        <v>80.487804878048792</v>
      </c>
      <c r="I860" s="12">
        <f t="shared" si="162"/>
        <v>2</v>
      </c>
      <c r="J860" s="12" t="str">
        <f t="shared" si="159"/>
        <v>Đạt</v>
      </c>
      <c r="K860" s="10"/>
      <c r="L860" s="96">
        <f t="shared" si="163"/>
        <v>8.5399999999999991</v>
      </c>
      <c r="M860" s="10">
        <v>4.88</v>
      </c>
      <c r="N860" s="10">
        <v>3.66</v>
      </c>
      <c r="O860" s="82">
        <v>24.84</v>
      </c>
      <c r="P860" s="97">
        <v>99.337748344370866</v>
      </c>
      <c r="Q860" s="12">
        <f t="shared" si="164"/>
        <v>1</v>
      </c>
      <c r="R860" s="12" t="str">
        <f t="shared" si="165"/>
        <v>Không đạt</v>
      </c>
      <c r="S860" s="10" t="s">
        <v>1185</v>
      </c>
      <c r="T860" s="95"/>
    </row>
    <row r="861" spans="1:20" s="117" customFormat="1" ht="45" x14ac:dyDescent="0.25">
      <c r="A861" s="87" t="s">
        <v>201</v>
      </c>
      <c r="B861" s="88"/>
      <c r="C861" s="88" t="s">
        <v>922</v>
      </c>
      <c r="D861" s="81">
        <f t="shared" si="158"/>
        <v>8.3969465648854964</v>
      </c>
      <c r="E861" s="118">
        <v>3.0534351145038165</v>
      </c>
      <c r="F861" s="118">
        <v>5.343511450381679</v>
      </c>
      <c r="G861" s="81">
        <v>49.65</v>
      </c>
      <c r="H861" s="81">
        <v>95.97</v>
      </c>
      <c r="I861" s="45">
        <f t="shared" si="162"/>
        <v>1</v>
      </c>
      <c r="J861" s="45" t="str">
        <f t="shared" si="159"/>
        <v>Không đạt</v>
      </c>
      <c r="K861" s="43"/>
      <c r="L861" s="61">
        <f t="shared" si="163"/>
        <v>8.39</v>
      </c>
      <c r="M861" s="43">
        <v>3.05</v>
      </c>
      <c r="N861" s="43">
        <v>5.34</v>
      </c>
      <c r="O861" s="81">
        <v>49.65</v>
      </c>
      <c r="P861" s="62">
        <v>80.487804878048792</v>
      </c>
      <c r="Q861" s="45">
        <f t="shared" si="164"/>
        <v>2</v>
      </c>
      <c r="R861" s="45" t="str">
        <f t="shared" si="165"/>
        <v>Đạt</v>
      </c>
      <c r="S861" s="43" t="s">
        <v>1190</v>
      </c>
      <c r="T861" s="86"/>
    </row>
    <row r="862" spans="1:20" s="84" customFormat="1" hidden="1" x14ac:dyDescent="0.25">
      <c r="A862" s="9" t="s">
        <v>202</v>
      </c>
      <c r="B862" s="1"/>
      <c r="C862" s="1" t="s">
        <v>923</v>
      </c>
      <c r="D862" s="82">
        <f t="shared" si="158"/>
        <v>12.280701754385964</v>
      </c>
      <c r="E862" s="105">
        <v>7.0175438596491224</v>
      </c>
      <c r="F862" s="105">
        <v>5.2631578947368416</v>
      </c>
      <c r="G862" s="82">
        <v>44.87</v>
      </c>
      <c r="H862" s="82">
        <v>97</v>
      </c>
      <c r="I862" s="12">
        <f t="shared" si="162"/>
        <v>1</v>
      </c>
      <c r="J862" s="12" t="str">
        <f t="shared" si="159"/>
        <v>Không đạt</v>
      </c>
      <c r="K862" s="10"/>
      <c r="L862" s="96">
        <f t="shared" si="163"/>
        <v>12.28</v>
      </c>
      <c r="M862" s="10">
        <v>7.02</v>
      </c>
      <c r="N862" s="10">
        <v>5.26</v>
      </c>
      <c r="O862" s="82">
        <v>44.87</v>
      </c>
      <c r="P862" s="97">
        <v>95.967741935483872</v>
      </c>
      <c r="Q862" s="12">
        <f t="shared" si="164"/>
        <v>1</v>
      </c>
      <c r="R862" s="12" t="str">
        <f t="shared" si="165"/>
        <v>Không đạt</v>
      </c>
      <c r="S862" s="10"/>
      <c r="T862" s="95"/>
    </row>
    <row r="863" spans="1:20" s="84" customFormat="1" hidden="1" x14ac:dyDescent="0.25">
      <c r="A863" s="9" t="s">
        <v>203</v>
      </c>
      <c r="B863" s="1"/>
      <c r="C863" s="1" t="s">
        <v>924</v>
      </c>
      <c r="D863" s="82">
        <f t="shared" si="158"/>
        <v>12</v>
      </c>
      <c r="E863" s="105">
        <v>5</v>
      </c>
      <c r="F863" s="105">
        <v>7.0000000000000009</v>
      </c>
      <c r="G863" s="82">
        <v>53.1</v>
      </c>
      <c r="H863" s="82">
        <v>98.958333333333343</v>
      </c>
      <c r="I863" s="12">
        <f t="shared" si="162"/>
        <v>1</v>
      </c>
      <c r="J863" s="12" t="str">
        <f t="shared" si="159"/>
        <v>Không đạt</v>
      </c>
      <c r="K863" s="10"/>
      <c r="L863" s="96">
        <f t="shared" si="163"/>
        <v>12</v>
      </c>
      <c r="M863" s="10">
        <v>5</v>
      </c>
      <c r="N863" s="10">
        <v>7</v>
      </c>
      <c r="O863" s="82">
        <v>53.1</v>
      </c>
      <c r="P863" s="97">
        <v>96.551724137931046</v>
      </c>
      <c r="Q863" s="12">
        <f t="shared" si="164"/>
        <v>1</v>
      </c>
      <c r="R863" s="12" t="str">
        <f t="shared" si="165"/>
        <v>Không đạt</v>
      </c>
      <c r="S863" s="10"/>
      <c r="T863" s="95"/>
    </row>
    <row r="864" spans="1:20" s="84" customFormat="1" ht="30" x14ac:dyDescent="0.25">
      <c r="A864" s="9" t="s">
        <v>204</v>
      </c>
      <c r="B864" s="1"/>
      <c r="C864" s="1" t="s">
        <v>925</v>
      </c>
      <c r="D864" s="82">
        <f t="shared" si="158"/>
        <v>21.518987341772153</v>
      </c>
      <c r="E864" s="105">
        <v>13.924050632911392</v>
      </c>
      <c r="F864" s="105">
        <v>7.59493670886076</v>
      </c>
      <c r="G864" s="82">
        <v>61.84</v>
      </c>
      <c r="H864" s="82">
        <v>81.25</v>
      </c>
      <c r="I864" s="12">
        <f t="shared" si="162"/>
        <v>2</v>
      </c>
      <c r="J864" s="12" t="str">
        <f t="shared" si="159"/>
        <v>Đạt</v>
      </c>
      <c r="K864" s="10"/>
      <c r="L864" s="96">
        <f t="shared" si="163"/>
        <v>21.509999999999998</v>
      </c>
      <c r="M864" s="10">
        <v>13.92</v>
      </c>
      <c r="N864" s="10">
        <v>7.59</v>
      </c>
      <c r="O864" s="82">
        <v>61.84</v>
      </c>
      <c r="P864" s="97">
        <v>98.958333333333343</v>
      </c>
      <c r="Q864" s="12">
        <f t="shared" si="164"/>
        <v>1</v>
      </c>
      <c r="R864" s="12" t="str">
        <f t="shared" si="165"/>
        <v>Không đạt</v>
      </c>
      <c r="S864" s="10" t="s">
        <v>1185</v>
      </c>
      <c r="T864" s="95"/>
    </row>
    <row r="865" spans="1:21" s="117" customFormat="1" ht="45" x14ac:dyDescent="0.25">
      <c r="A865" s="87" t="s">
        <v>205</v>
      </c>
      <c r="B865" s="88"/>
      <c r="C865" s="88" t="s">
        <v>926</v>
      </c>
      <c r="D865" s="81">
        <f t="shared" si="158"/>
        <v>11.214953271028037</v>
      </c>
      <c r="E865" s="118">
        <v>6.5420560747663545</v>
      </c>
      <c r="F865" s="118">
        <v>4.6728971962616823</v>
      </c>
      <c r="G865" s="81">
        <v>49.24</v>
      </c>
      <c r="H865" s="81">
        <v>92.25</v>
      </c>
      <c r="I865" s="45">
        <f t="shared" si="162"/>
        <v>1</v>
      </c>
      <c r="J865" s="45" t="str">
        <f t="shared" si="159"/>
        <v>Không đạt</v>
      </c>
      <c r="K865" s="43"/>
      <c r="L865" s="61">
        <f t="shared" si="163"/>
        <v>11.21</v>
      </c>
      <c r="M865" s="43">
        <v>6.54</v>
      </c>
      <c r="N865" s="43">
        <v>4.67</v>
      </c>
      <c r="O865" s="81">
        <v>49.24</v>
      </c>
      <c r="P865" s="62">
        <v>81.25</v>
      </c>
      <c r="Q865" s="45">
        <f t="shared" si="164"/>
        <v>2</v>
      </c>
      <c r="R865" s="45" t="str">
        <f t="shared" si="165"/>
        <v>Đạt</v>
      </c>
      <c r="S865" s="43" t="s">
        <v>1190</v>
      </c>
      <c r="T865" s="86"/>
    </row>
    <row r="866" spans="1:21" s="84" customFormat="1" hidden="1" x14ac:dyDescent="0.25">
      <c r="A866" s="9" t="s">
        <v>206</v>
      </c>
      <c r="B866" s="1"/>
      <c r="C866" s="1" t="s">
        <v>927</v>
      </c>
      <c r="D866" s="82">
        <f t="shared" si="158"/>
        <v>10.091743119266056</v>
      </c>
      <c r="E866" s="105">
        <v>3.669724770642202</v>
      </c>
      <c r="F866" s="105">
        <v>6.4220183486238538</v>
      </c>
      <c r="G866" s="82">
        <v>65.569999999999993</v>
      </c>
      <c r="H866" s="82">
        <v>97.979797979797979</v>
      </c>
      <c r="I866" s="12">
        <f t="shared" si="162"/>
        <v>0</v>
      </c>
      <c r="J866" s="12" t="str">
        <f t="shared" si="159"/>
        <v>Không đạt</v>
      </c>
      <c r="K866" s="10"/>
      <c r="L866" s="96">
        <f t="shared" si="163"/>
        <v>10.09</v>
      </c>
      <c r="M866" s="10">
        <v>3.67</v>
      </c>
      <c r="N866" s="10">
        <v>6.42</v>
      </c>
      <c r="O866" s="82">
        <v>65.569999999999993</v>
      </c>
      <c r="P866" s="97">
        <v>92.233009708737868</v>
      </c>
      <c r="Q866" s="12">
        <f t="shared" si="164"/>
        <v>0</v>
      </c>
      <c r="R866" s="12" t="str">
        <f t="shared" si="165"/>
        <v>Không đạt</v>
      </c>
      <c r="S866" s="10"/>
      <c r="T866" s="95"/>
    </row>
    <row r="867" spans="1:21" s="84" customFormat="1" hidden="1" x14ac:dyDescent="0.25">
      <c r="A867" s="9" t="s">
        <v>207</v>
      </c>
      <c r="B867" s="1"/>
      <c r="C867" s="1" t="s">
        <v>928</v>
      </c>
      <c r="D867" s="82">
        <f>E867+F867</f>
        <v>12.030075187969924</v>
      </c>
      <c r="E867" s="105">
        <v>6.0150375939849621</v>
      </c>
      <c r="F867" s="105">
        <v>6.0150375939849621</v>
      </c>
      <c r="G867" s="82">
        <v>45.45</v>
      </c>
      <c r="H867" s="82">
        <v>97</v>
      </c>
      <c r="I867" s="12">
        <f t="shared" si="162"/>
        <v>1</v>
      </c>
      <c r="J867" s="12" t="str">
        <f t="shared" si="159"/>
        <v>Không đạt</v>
      </c>
      <c r="K867" s="10"/>
      <c r="L867" s="96">
        <f t="shared" si="163"/>
        <v>12.04</v>
      </c>
      <c r="M867" s="10">
        <v>6.02</v>
      </c>
      <c r="N867" s="10">
        <v>6.02</v>
      </c>
      <c r="O867" s="82">
        <v>45.45</v>
      </c>
      <c r="P867" s="97">
        <v>97.979797979797979</v>
      </c>
      <c r="Q867" s="12">
        <f t="shared" si="164"/>
        <v>1</v>
      </c>
      <c r="R867" s="12" t="str">
        <f t="shared" si="165"/>
        <v>Không đạt</v>
      </c>
      <c r="S867" s="10"/>
      <c r="T867" s="95"/>
    </row>
    <row r="868" spans="1:21" s="100" customFormat="1" x14ac:dyDescent="0.25">
      <c r="A868" s="19" t="s">
        <v>509</v>
      </c>
      <c r="B868" s="20" t="s">
        <v>106</v>
      </c>
      <c r="C868" s="20"/>
      <c r="D868" s="22"/>
      <c r="E868" s="104"/>
      <c r="F868" s="104"/>
      <c r="G868" s="22"/>
      <c r="H868" s="22"/>
      <c r="I868" s="89"/>
      <c r="J868" s="89"/>
      <c r="K868" s="90">
        <f>COUNTIF(J869:J883,"Đạt")</f>
        <v>9</v>
      </c>
      <c r="L868" s="98">
        <f t="shared" ref="L868:L930" si="166">M868+N868</f>
        <v>0</v>
      </c>
      <c r="M868" s="21"/>
      <c r="N868" s="21"/>
      <c r="O868" s="22"/>
      <c r="P868" s="99"/>
      <c r="Q868" s="89"/>
      <c r="R868" s="89"/>
      <c r="S868" s="90" t="s">
        <v>1189</v>
      </c>
      <c r="U868" s="84"/>
    </row>
    <row r="869" spans="1:21" s="84" customFormat="1" hidden="1" x14ac:dyDescent="0.25">
      <c r="A869" s="9" t="s">
        <v>148</v>
      </c>
      <c r="B869" s="1"/>
      <c r="C869" s="1" t="s">
        <v>495</v>
      </c>
      <c r="D869" s="15">
        <f>E869+F869</f>
        <v>46.66</v>
      </c>
      <c r="E869" s="11">
        <v>13.33</v>
      </c>
      <c r="F869" s="11">
        <v>33.33</v>
      </c>
      <c r="G869" s="15">
        <v>57.3</v>
      </c>
      <c r="H869" s="15">
        <v>85.333333333333343</v>
      </c>
      <c r="I869" s="12">
        <f>SUM((IF(D869&gt;=16.24,1,0))+(IF(G869&lt;60,1,0))+(IF(H869&lt;90,1,0)))</f>
        <v>3</v>
      </c>
      <c r="J869" s="12" t="str">
        <f>IF(I869&gt;=2,"Đạt","Không đạt")</f>
        <v>Đạt</v>
      </c>
      <c r="K869" s="10"/>
      <c r="L869" s="96">
        <f t="shared" si="166"/>
        <v>46.599999999999994</v>
      </c>
      <c r="M869" s="10">
        <v>13.3</v>
      </c>
      <c r="N869" s="10">
        <v>33.299999999999997</v>
      </c>
      <c r="O869" s="15">
        <v>57.3</v>
      </c>
      <c r="P869" s="97">
        <v>100</v>
      </c>
      <c r="Q869" s="12">
        <f t="shared" ref="Q869:Q930" si="167">SUM((IF(L869&gt;=16.24,1,0))+(IF(O869&lt;60,1,0))+(IF(P869&lt;90,1,0)))</f>
        <v>2</v>
      </c>
      <c r="R869" s="12" t="str">
        <f t="shared" ref="R869:R930" si="168">IF(Q869&gt;=2,"Đạt","Không đạt")</f>
        <v>Đạt</v>
      </c>
      <c r="S869" s="10"/>
      <c r="T869" s="95"/>
    </row>
    <row r="870" spans="1:21" s="84" customFormat="1" hidden="1" x14ac:dyDescent="0.25">
      <c r="A870" s="9" t="s">
        <v>149</v>
      </c>
      <c r="B870" s="1"/>
      <c r="C870" s="1" t="s">
        <v>496</v>
      </c>
      <c r="D870" s="15">
        <f t="shared" ref="D870:D883" si="169">E870+F870</f>
        <v>47</v>
      </c>
      <c r="E870" s="11">
        <v>14</v>
      </c>
      <c r="F870" s="11">
        <v>33</v>
      </c>
      <c r="G870" s="15">
        <v>58.7</v>
      </c>
      <c r="H870" s="15">
        <v>45</v>
      </c>
      <c r="I870" s="12">
        <f t="shared" ref="I870:I883" si="170">SUM((IF(D870&gt;=16.24,1,0))+(IF(G870&lt;60,1,0))+(IF(H870&lt;90,1,0)))</f>
        <v>3</v>
      </c>
      <c r="J870" s="12" t="str">
        <f t="shared" ref="J870:J883" si="171">IF(I870&gt;=2,"Đạt","Không đạt")</f>
        <v>Đạt</v>
      </c>
      <c r="K870" s="10"/>
      <c r="L870" s="96">
        <f t="shared" si="166"/>
        <v>47</v>
      </c>
      <c r="M870" s="10">
        <v>14</v>
      </c>
      <c r="N870" s="10">
        <v>33</v>
      </c>
      <c r="O870" s="15">
        <v>58.7</v>
      </c>
      <c r="P870" s="97">
        <v>85.333333333333329</v>
      </c>
      <c r="Q870" s="12">
        <f t="shared" si="167"/>
        <v>3</v>
      </c>
      <c r="R870" s="12" t="str">
        <f t="shared" si="168"/>
        <v>Đạt</v>
      </c>
      <c r="S870" s="10"/>
      <c r="T870" s="95"/>
    </row>
    <row r="871" spans="1:21" s="84" customFormat="1" hidden="1" x14ac:dyDescent="0.25">
      <c r="A871" s="9" t="s">
        <v>150</v>
      </c>
      <c r="B871" s="1"/>
      <c r="C871" s="1" t="s">
        <v>497</v>
      </c>
      <c r="D871" s="15">
        <f t="shared" si="169"/>
        <v>3.79</v>
      </c>
      <c r="E871" s="11">
        <v>0.63</v>
      </c>
      <c r="F871" s="11">
        <v>3.16</v>
      </c>
      <c r="G871" s="15">
        <v>100</v>
      </c>
      <c r="H871" s="15">
        <v>96.202531645569621</v>
      </c>
      <c r="I871" s="12">
        <f t="shared" si="170"/>
        <v>0</v>
      </c>
      <c r="J871" s="12" t="str">
        <f t="shared" si="171"/>
        <v>Không đạt</v>
      </c>
      <c r="K871" s="10"/>
      <c r="L871" s="96">
        <f t="shared" si="166"/>
        <v>3.8000000000000003</v>
      </c>
      <c r="M871" s="10">
        <v>0.6</v>
      </c>
      <c r="N871" s="10">
        <v>3.2</v>
      </c>
      <c r="O871" s="15">
        <v>100</v>
      </c>
      <c r="P871" s="97">
        <v>45</v>
      </c>
      <c r="Q871" s="12">
        <f t="shared" si="167"/>
        <v>1</v>
      </c>
      <c r="R871" s="12" t="str">
        <f t="shared" si="168"/>
        <v>Không đạt</v>
      </c>
      <c r="S871" s="10"/>
      <c r="T871" s="95"/>
    </row>
    <row r="872" spans="1:21" s="84" customFormat="1" hidden="1" x14ac:dyDescent="0.25">
      <c r="A872" s="9" t="s">
        <v>151</v>
      </c>
      <c r="B872" s="1"/>
      <c r="C872" s="1" t="s">
        <v>498</v>
      </c>
      <c r="D872" s="15">
        <f t="shared" si="169"/>
        <v>10.370000000000001</v>
      </c>
      <c r="E872" s="11">
        <v>3.66</v>
      </c>
      <c r="F872" s="11">
        <v>6.71</v>
      </c>
      <c r="G872" s="15">
        <v>97</v>
      </c>
      <c r="H872" s="15">
        <v>96.341463414634148</v>
      </c>
      <c r="I872" s="12">
        <f t="shared" si="170"/>
        <v>0</v>
      </c>
      <c r="J872" s="12" t="str">
        <f t="shared" si="171"/>
        <v>Không đạt</v>
      </c>
      <c r="K872" s="10"/>
      <c r="L872" s="96">
        <f t="shared" si="166"/>
        <v>10.4</v>
      </c>
      <c r="M872" s="10">
        <v>3.7</v>
      </c>
      <c r="N872" s="10">
        <v>6.7</v>
      </c>
      <c r="O872" s="15">
        <v>97</v>
      </c>
      <c r="P872" s="97">
        <v>96.202531645569621</v>
      </c>
      <c r="Q872" s="12">
        <f t="shared" si="167"/>
        <v>0</v>
      </c>
      <c r="R872" s="12" t="str">
        <f t="shared" si="168"/>
        <v>Không đạt</v>
      </c>
      <c r="S872" s="10"/>
      <c r="T872" s="95"/>
    </row>
    <row r="873" spans="1:21" s="84" customFormat="1" ht="30" x14ac:dyDescent="0.25">
      <c r="A873" s="9" t="s">
        <v>152</v>
      </c>
      <c r="B873" s="1"/>
      <c r="C873" s="1" t="s">
        <v>499</v>
      </c>
      <c r="D873" s="15">
        <f t="shared" si="169"/>
        <v>32</v>
      </c>
      <c r="E873" s="11">
        <v>11</v>
      </c>
      <c r="F873" s="11">
        <v>21</v>
      </c>
      <c r="G873" s="15">
        <v>100</v>
      </c>
      <c r="H873" s="15">
        <v>87</v>
      </c>
      <c r="I873" s="12">
        <f>SUM((IF(D873&gt;=16.24,1,0))+(IF(G873&lt;60,1,0))+(IF(H873&lt;90,1,0)))</f>
        <v>2</v>
      </c>
      <c r="J873" s="12" t="str">
        <f t="shared" si="171"/>
        <v>Đạt</v>
      </c>
      <c r="K873" s="10"/>
      <c r="L873" s="96">
        <f t="shared" si="166"/>
        <v>30.189999999999998</v>
      </c>
      <c r="M873" s="10">
        <v>10.38</v>
      </c>
      <c r="N873" s="10">
        <v>19.809999999999999</v>
      </c>
      <c r="O873" s="15">
        <v>100</v>
      </c>
      <c r="P873" s="122">
        <v>96.341463414634148</v>
      </c>
      <c r="Q873" s="12">
        <f t="shared" si="167"/>
        <v>1</v>
      </c>
      <c r="R873" s="12" t="str">
        <f t="shared" si="168"/>
        <v>Không đạt</v>
      </c>
      <c r="S873" s="43" t="s">
        <v>1185</v>
      </c>
      <c r="T873" s="95"/>
    </row>
    <row r="874" spans="1:21" s="84" customFormat="1" ht="18.75" hidden="1" x14ac:dyDescent="0.25">
      <c r="A874" s="9" t="s">
        <v>153</v>
      </c>
      <c r="B874" s="1"/>
      <c r="C874" s="1" t="s">
        <v>500</v>
      </c>
      <c r="D874" s="15">
        <f t="shared" si="169"/>
        <v>4.26</v>
      </c>
      <c r="E874" s="11">
        <v>2.84</v>
      </c>
      <c r="F874" s="11">
        <v>1.42</v>
      </c>
      <c r="G874" s="15">
        <v>75</v>
      </c>
      <c r="H874" s="15">
        <v>79.432624113475185</v>
      </c>
      <c r="I874" s="12">
        <f t="shared" si="170"/>
        <v>1</v>
      </c>
      <c r="J874" s="12" t="str">
        <f t="shared" si="171"/>
        <v>Không đạt</v>
      </c>
      <c r="K874" s="10"/>
      <c r="L874" s="96">
        <f t="shared" si="166"/>
        <v>4.1999999999999993</v>
      </c>
      <c r="M874" s="10">
        <v>2.8</v>
      </c>
      <c r="N874" s="10">
        <v>1.4</v>
      </c>
      <c r="O874" s="15">
        <v>75</v>
      </c>
      <c r="P874" s="122">
        <v>87</v>
      </c>
      <c r="Q874" s="12">
        <f t="shared" si="167"/>
        <v>1</v>
      </c>
      <c r="R874" s="12" t="str">
        <f t="shared" si="168"/>
        <v>Không đạt</v>
      </c>
      <c r="S874" s="10"/>
      <c r="T874" s="95"/>
    </row>
    <row r="875" spans="1:21" s="84" customFormat="1" ht="18.75" hidden="1" x14ac:dyDescent="0.25">
      <c r="A875" s="9" t="s">
        <v>154</v>
      </c>
      <c r="B875" s="1"/>
      <c r="C875" s="1" t="s">
        <v>501</v>
      </c>
      <c r="D875" s="15">
        <f t="shared" si="169"/>
        <v>17.77</v>
      </c>
      <c r="E875" s="11">
        <v>3.72</v>
      </c>
      <c r="F875" s="11">
        <v>14.05</v>
      </c>
      <c r="G875" s="15">
        <v>58.2</v>
      </c>
      <c r="H875" s="15">
        <v>89.669421487603302</v>
      </c>
      <c r="I875" s="12">
        <f t="shared" si="170"/>
        <v>3</v>
      </c>
      <c r="J875" s="12" t="str">
        <f t="shared" si="171"/>
        <v>Đạt</v>
      </c>
      <c r="K875" s="10"/>
      <c r="L875" s="96">
        <f t="shared" si="166"/>
        <v>17.8</v>
      </c>
      <c r="M875" s="10">
        <v>3.7</v>
      </c>
      <c r="N875" s="10">
        <v>14.1</v>
      </c>
      <c r="O875" s="15">
        <v>58.2</v>
      </c>
      <c r="P875" s="122">
        <v>79.432624113475185</v>
      </c>
      <c r="Q875" s="12">
        <f t="shared" si="167"/>
        <v>3</v>
      </c>
      <c r="R875" s="12" t="str">
        <f t="shared" si="168"/>
        <v>Đạt</v>
      </c>
      <c r="S875" s="10"/>
      <c r="T875" s="95"/>
    </row>
    <row r="876" spans="1:21" s="84" customFormat="1" ht="18.75" hidden="1" x14ac:dyDescent="0.25">
      <c r="A876" s="9" t="s">
        <v>155</v>
      </c>
      <c r="B876" s="1"/>
      <c r="C876" s="1" t="s">
        <v>502</v>
      </c>
      <c r="D876" s="15">
        <f t="shared" si="169"/>
        <v>33.730000000000004</v>
      </c>
      <c r="E876" s="11">
        <v>10.47</v>
      </c>
      <c r="F876" s="11">
        <v>23.26</v>
      </c>
      <c r="G876" s="15">
        <v>58.3</v>
      </c>
      <c r="H876" s="15">
        <v>100</v>
      </c>
      <c r="I876" s="12">
        <f t="shared" si="170"/>
        <v>2</v>
      </c>
      <c r="J876" s="12" t="str">
        <f t="shared" si="171"/>
        <v>Đạt</v>
      </c>
      <c r="K876" s="10"/>
      <c r="L876" s="96">
        <f t="shared" si="166"/>
        <v>33.799999999999997</v>
      </c>
      <c r="M876" s="10">
        <v>10.5</v>
      </c>
      <c r="N876" s="10">
        <v>23.3</v>
      </c>
      <c r="O876" s="15">
        <v>58.3</v>
      </c>
      <c r="P876" s="122">
        <v>89.669421487603302</v>
      </c>
      <c r="Q876" s="12">
        <f t="shared" si="167"/>
        <v>3</v>
      </c>
      <c r="R876" s="12" t="str">
        <f t="shared" si="168"/>
        <v>Đạt</v>
      </c>
      <c r="S876" s="10"/>
      <c r="T876" s="95"/>
    </row>
    <row r="877" spans="1:21" s="84" customFormat="1" ht="30" x14ac:dyDescent="0.25">
      <c r="A877" s="9" t="s">
        <v>156</v>
      </c>
      <c r="B877" s="1"/>
      <c r="C877" s="1" t="s">
        <v>458</v>
      </c>
      <c r="D877" s="15">
        <f t="shared" si="169"/>
        <v>8</v>
      </c>
      <c r="E877" s="11">
        <v>0</v>
      </c>
      <c r="F877" s="11">
        <v>8</v>
      </c>
      <c r="G877" s="15">
        <v>56.7</v>
      </c>
      <c r="H877" s="15">
        <v>83.333333333333343</v>
      </c>
      <c r="I877" s="12">
        <f t="shared" si="170"/>
        <v>2</v>
      </c>
      <c r="J877" s="12" t="str">
        <f t="shared" si="171"/>
        <v>Đạt</v>
      </c>
      <c r="K877" s="10"/>
      <c r="L877" s="96">
        <f t="shared" si="166"/>
        <v>8</v>
      </c>
      <c r="M877" s="10">
        <v>0</v>
      </c>
      <c r="N877" s="10">
        <v>8</v>
      </c>
      <c r="O877" s="15">
        <v>56.7</v>
      </c>
      <c r="P877" s="122">
        <v>100</v>
      </c>
      <c r="Q877" s="12">
        <f t="shared" si="167"/>
        <v>1</v>
      </c>
      <c r="R877" s="12" t="str">
        <f t="shared" si="168"/>
        <v>Không đạt</v>
      </c>
      <c r="S877" s="43" t="s">
        <v>1185</v>
      </c>
      <c r="T877" s="95"/>
    </row>
    <row r="878" spans="1:21" s="84" customFormat="1" ht="18.75" hidden="1" x14ac:dyDescent="0.25">
      <c r="A878" s="9" t="s">
        <v>157</v>
      </c>
      <c r="B878" s="1"/>
      <c r="C878" s="1" t="s">
        <v>503</v>
      </c>
      <c r="D878" s="15">
        <f t="shared" si="169"/>
        <v>26.92</v>
      </c>
      <c r="E878" s="11">
        <v>7.69</v>
      </c>
      <c r="F878" s="11">
        <v>19.23</v>
      </c>
      <c r="G878" s="15">
        <v>53.6</v>
      </c>
      <c r="H878" s="15">
        <v>88.461538461538453</v>
      </c>
      <c r="I878" s="12">
        <f t="shared" si="170"/>
        <v>3</v>
      </c>
      <c r="J878" s="12" t="str">
        <f t="shared" si="171"/>
        <v>Đạt</v>
      </c>
      <c r="K878" s="10"/>
      <c r="L878" s="96">
        <f t="shared" si="166"/>
        <v>26.9</v>
      </c>
      <c r="M878" s="10">
        <v>7.7</v>
      </c>
      <c r="N878" s="10">
        <v>19.2</v>
      </c>
      <c r="O878" s="15">
        <v>53.6</v>
      </c>
      <c r="P878" s="122">
        <v>83.333333333333329</v>
      </c>
      <c r="Q878" s="12">
        <f t="shared" si="167"/>
        <v>3</v>
      </c>
      <c r="R878" s="12" t="str">
        <f t="shared" si="168"/>
        <v>Đạt</v>
      </c>
      <c r="S878" s="10"/>
      <c r="T878" s="95"/>
    </row>
    <row r="879" spans="1:21" s="84" customFormat="1" ht="18.75" hidden="1" x14ac:dyDescent="0.25">
      <c r="A879" s="9" t="s">
        <v>158</v>
      </c>
      <c r="B879" s="1"/>
      <c r="C879" s="1" t="s">
        <v>504</v>
      </c>
      <c r="D879" s="15">
        <f t="shared" si="169"/>
        <v>6.61</v>
      </c>
      <c r="E879" s="11">
        <v>2.89</v>
      </c>
      <c r="F879" s="11">
        <v>3.72</v>
      </c>
      <c r="G879" s="15">
        <v>70</v>
      </c>
      <c r="H879" s="15">
        <v>99.173553719008268</v>
      </c>
      <c r="I879" s="12">
        <f t="shared" si="170"/>
        <v>0</v>
      </c>
      <c r="J879" s="12" t="str">
        <f t="shared" si="171"/>
        <v>Không đạt</v>
      </c>
      <c r="K879" s="10"/>
      <c r="L879" s="96">
        <f t="shared" si="166"/>
        <v>6.6</v>
      </c>
      <c r="M879" s="10">
        <v>2.9</v>
      </c>
      <c r="N879" s="10">
        <v>3.7</v>
      </c>
      <c r="O879" s="15">
        <v>70</v>
      </c>
      <c r="P879" s="122">
        <v>88.461538461538453</v>
      </c>
      <c r="Q879" s="12">
        <f t="shared" si="167"/>
        <v>1</v>
      </c>
      <c r="R879" s="12" t="str">
        <f t="shared" si="168"/>
        <v>Không đạt</v>
      </c>
      <c r="S879" s="10"/>
      <c r="T879" s="95"/>
    </row>
    <row r="880" spans="1:21" s="84" customFormat="1" ht="18.75" hidden="1" x14ac:dyDescent="0.25">
      <c r="A880" s="9" t="s">
        <v>159</v>
      </c>
      <c r="B880" s="1"/>
      <c r="C880" s="1" t="s">
        <v>505</v>
      </c>
      <c r="D880" s="15">
        <f t="shared" si="169"/>
        <v>10</v>
      </c>
      <c r="E880" s="11">
        <v>3.64</v>
      </c>
      <c r="F880" s="11">
        <v>6.36</v>
      </c>
      <c r="G880" s="15">
        <v>92</v>
      </c>
      <c r="H880" s="15">
        <v>100</v>
      </c>
      <c r="I880" s="12">
        <f t="shared" si="170"/>
        <v>0</v>
      </c>
      <c r="J880" s="12" t="str">
        <f t="shared" si="171"/>
        <v>Không đạt</v>
      </c>
      <c r="K880" s="10"/>
      <c r="L880" s="96">
        <f t="shared" si="166"/>
        <v>10</v>
      </c>
      <c r="M880" s="10">
        <v>3.6</v>
      </c>
      <c r="N880" s="10">
        <v>6.4</v>
      </c>
      <c r="O880" s="15">
        <v>92</v>
      </c>
      <c r="P880" s="122">
        <v>99.173553719008268</v>
      </c>
      <c r="Q880" s="12">
        <f t="shared" si="167"/>
        <v>0</v>
      </c>
      <c r="R880" s="12" t="str">
        <f t="shared" si="168"/>
        <v>Không đạt</v>
      </c>
      <c r="S880" s="10"/>
      <c r="T880" s="95"/>
    </row>
    <row r="881" spans="1:21" s="84" customFormat="1" ht="30" x14ac:dyDescent="0.25">
      <c r="A881" s="9" t="s">
        <v>160</v>
      </c>
      <c r="B881" s="1"/>
      <c r="C881" s="1" t="s">
        <v>506</v>
      </c>
      <c r="D881" s="15">
        <f t="shared" si="169"/>
        <v>9.09</v>
      </c>
      <c r="E881" s="11">
        <v>3.64</v>
      </c>
      <c r="F881" s="11">
        <v>5.45</v>
      </c>
      <c r="G881" s="15">
        <v>55.7</v>
      </c>
      <c r="H881" s="15">
        <v>88.63636363636364</v>
      </c>
      <c r="I881" s="12">
        <f t="shared" si="170"/>
        <v>2</v>
      </c>
      <c r="J881" s="12" t="str">
        <f t="shared" si="171"/>
        <v>Đạt</v>
      </c>
      <c r="K881" s="10"/>
      <c r="L881" s="96">
        <f t="shared" si="166"/>
        <v>9.1</v>
      </c>
      <c r="M881" s="10">
        <v>3.6</v>
      </c>
      <c r="N881" s="10">
        <v>5.5</v>
      </c>
      <c r="O881" s="15">
        <v>55.7</v>
      </c>
      <c r="P881" s="122">
        <v>100</v>
      </c>
      <c r="Q881" s="12">
        <f t="shared" si="167"/>
        <v>1</v>
      </c>
      <c r="R881" s="12" t="str">
        <f t="shared" si="168"/>
        <v>Không đạt</v>
      </c>
      <c r="S881" s="43" t="s">
        <v>1185</v>
      </c>
      <c r="T881" s="95"/>
    </row>
    <row r="882" spans="1:21" s="84" customFormat="1" hidden="1" x14ac:dyDescent="0.25">
      <c r="A882" s="9" t="s">
        <v>161</v>
      </c>
      <c r="B882" s="1"/>
      <c r="C882" s="1" t="s">
        <v>507</v>
      </c>
      <c r="D882" s="15">
        <f t="shared" si="169"/>
        <v>17.41</v>
      </c>
      <c r="E882" s="11">
        <v>3.57</v>
      </c>
      <c r="F882" s="11">
        <v>13.84</v>
      </c>
      <c r="G882" s="15">
        <v>57.4</v>
      </c>
      <c r="H882" s="15">
        <v>95.089285714285708</v>
      </c>
      <c r="I882" s="12">
        <f t="shared" si="170"/>
        <v>2</v>
      </c>
      <c r="J882" s="12" t="str">
        <f t="shared" si="171"/>
        <v>Đạt</v>
      </c>
      <c r="K882" s="10"/>
      <c r="L882" s="96">
        <f t="shared" si="166"/>
        <v>7.6199999999999992</v>
      </c>
      <c r="M882" s="10">
        <v>3.6</v>
      </c>
      <c r="N882" s="10">
        <v>4.0199999999999996</v>
      </c>
      <c r="O882" s="15">
        <v>57.4</v>
      </c>
      <c r="P882" s="97">
        <v>88.636363636363626</v>
      </c>
      <c r="Q882" s="12">
        <f t="shared" si="167"/>
        <v>2</v>
      </c>
      <c r="R882" s="12" t="str">
        <f t="shared" si="168"/>
        <v>Đạt</v>
      </c>
      <c r="S882" s="10"/>
      <c r="T882" s="95"/>
    </row>
    <row r="883" spans="1:21" s="84" customFormat="1" hidden="1" x14ac:dyDescent="0.25">
      <c r="A883" s="9" t="s">
        <v>162</v>
      </c>
      <c r="B883" s="1"/>
      <c r="C883" s="1" t="s">
        <v>508</v>
      </c>
      <c r="D883" s="15">
        <f t="shared" si="169"/>
        <v>10.29</v>
      </c>
      <c r="E883" s="11">
        <v>4.41</v>
      </c>
      <c r="F883" s="11">
        <v>5.88</v>
      </c>
      <c r="G883" s="15">
        <v>89</v>
      </c>
      <c r="H883" s="15">
        <v>94.117647058823522</v>
      </c>
      <c r="I883" s="12">
        <f t="shared" si="170"/>
        <v>0</v>
      </c>
      <c r="J883" s="12" t="str">
        <f t="shared" si="171"/>
        <v>Không đạt</v>
      </c>
      <c r="K883" s="10"/>
      <c r="L883" s="96">
        <f t="shared" si="166"/>
        <v>10.3</v>
      </c>
      <c r="M883" s="10">
        <v>4.4000000000000004</v>
      </c>
      <c r="N883" s="10">
        <v>5.9</v>
      </c>
      <c r="O883" s="15">
        <v>89</v>
      </c>
      <c r="P883" s="97">
        <v>95.089285714285708</v>
      </c>
      <c r="Q883" s="12">
        <f t="shared" si="167"/>
        <v>0</v>
      </c>
      <c r="R883" s="12" t="str">
        <f t="shared" si="168"/>
        <v>Không đạt</v>
      </c>
      <c r="S883" s="10"/>
      <c r="T883" s="95"/>
    </row>
    <row r="884" spans="1:21" s="100" customFormat="1" x14ac:dyDescent="0.25">
      <c r="A884" s="19" t="s">
        <v>690</v>
      </c>
      <c r="B884" s="20" t="s">
        <v>105</v>
      </c>
      <c r="C884" s="20"/>
      <c r="D884" s="22"/>
      <c r="E884" s="104"/>
      <c r="F884" s="104"/>
      <c r="G884" s="22"/>
      <c r="H884" s="22"/>
      <c r="I884" s="89"/>
      <c r="J884" s="89"/>
      <c r="K884" s="90">
        <f>COUNTIF(J885:J922,"Đạt")</f>
        <v>4</v>
      </c>
      <c r="L884" s="98"/>
      <c r="M884" s="21"/>
      <c r="N884" s="21"/>
      <c r="O884" s="22"/>
      <c r="P884" s="99"/>
      <c r="Q884" s="89"/>
      <c r="R884" s="89"/>
      <c r="S884" s="90" t="s">
        <v>1188</v>
      </c>
      <c r="U884" s="84"/>
    </row>
    <row r="885" spans="1:21" s="84" customFormat="1" hidden="1" x14ac:dyDescent="0.25">
      <c r="A885" s="9" t="s">
        <v>148</v>
      </c>
      <c r="B885" s="1"/>
      <c r="C885" s="1" t="s">
        <v>691</v>
      </c>
      <c r="D885" s="15">
        <f t="shared" ref="D885:D921" si="172">E885+F885</f>
        <v>2.4678082191780821</v>
      </c>
      <c r="E885" s="11">
        <v>0.55000000000000004</v>
      </c>
      <c r="F885" s="11">
        <v>1.9178082191780821</v>
      </c>
      <c r="G885" s="15">
        <v>91</v>
      </c>
      <c r="H885" s="15">
        <v>100</v>
      </c>
      <c r="I885" s="12">
        <f>SUM((IF(D885&gt;=16.24,1,0))+(IF(G885&lt;60,1,0))+(IF(H885&lt;90,1,0)))</f>
        <v>0</v>
      </c>
      <c r="J885" s="12" t="str">
        <f>IF(I885&gt;=2,"Đạt","Không đạt")</f>
        <v>Không đạt</v>
      </c>
      <c r="K885" s="10"/>
      <c r="L885" s="96">
        <f t="shared" si="166"/>
        <v>2.4699999999999998</v>
      </c>
      <c r="M885" s="111">
        <v>0.55000000000000004</v>
      </c>
      <c r="N885" s="111">
        <v>1.92</v>
      </c>
      <c r="O885" s="15">
        <v>91</v>
      </c>
      <c r="P885" s="97">
        <v>100</v>
      </c>
      <c r="Q885" s="12">
        <f t="shared" si="167"/>
        <v>0</v>
      </c>
      <c r="R885" s="12" t="str">
        <f t="shared" si="168"/>
        <v>Không đạt</v>
      </c>
      <c r="S885" s="10"/>
      <c r="T885" s="95"/>
    </row>
    <row r="886" spans="1:21" s="84" customFormat="1" hidden="1" x14ac:dyDescent="0.25">
      <c r="A886" s="9" t="s">
        <v>149</v>
      </c>
      <c r="B886" s="1"/>
      <c r="C886" s="1" t="s">
        <v>692</v>
      </c>
      <c r="D886" s="15">
        <f t="shared" si="172"/>
        <v>4.5916326530612244</v>
      </c>
      <c r="E886" s="11">
        <v>0.51</v>
      </c>
      <c r="F886" s="11">
        <v>4.0816326530612246</v>
      </c>
      <c r="G886" s="15">
        <v>89</v>
      </c>
      <c r="H886" s="15">
        <v>100</v>
      </c>
      <c r="I886" s="12">
        <f t="shared" ref="I886:I922" si="173">SUM((IF(D886&gt;=16.24,1,0))+(IF(G886&lt;60,1,0))+(IF(H886&lt;90,1,0)))</f>
        <v>0</v>
      </c>
      <c r="J886" s="12" t="str">
        <f t="shared" ref="J886:J922" si="174">IF(I886&gt;=2,"Đạt","Không đạt")</f>
        <v>Không đạt</v>
      </c>
      <c r="K886" s="10"/>
      <c r="L886" s="96">
        <f t="shared" si="166"/>
        <v>4.59</v>
      </c>
      <c r="M886" s="111">
        <v>0.51</v>
      </c>
      <c r="N886" s="111">
        <v>4.08</v>
      </c>
      <c r="O886" s="15">
        <v>89</v>
      </c>
      <c r="P886" s="97">
        <v>100</v>
      </c>
      <c r="Q886" s="12">
        <f t="shared" si="167"/>
        <v>0</v>
      </c>
      <c r="R886" s="12" t="str">
        <f t="shared" si="168"/>
        <v>Không đạt</v>
      </c>
      <c r="S886" s="10"/>
      <c r="T886" s="95"/>
    </row>
    <row r="887" spans="1:21" s="84" customFormat="1" hidden="1" x14ac:dyDescent="0.25">
      <c r="A887" s="9" t="s">
        <v>150</v>
      </c>
      <c r="B887" s="1"/>
      <c r="C887" s="1" t="s">
        <v>693</v>
      </c>
      <c r="D887" s="15">
        <f t="shared" si="172"/>
        <v>6.569416058394161</v>
      </c>
      <c r="E887" s="11">
        <v>0.73</v>
      </c>
      <c r="F887" s="11">
        <v>5.8394160583941606</v>
      </c>
      <c r="G887" s="15">
        <v>91</v>
      </c>
      <c r="H887" s="15">
        <v>100</v>
      </c>
      <c r="I887" s="12">
        <f t="shared" si="173"/>
        <v>0</v>
      </c>
      <c r="J887" s="12" t="str">
        <f t="shared" si="174"/>
        <v>Không đạt</v>
      </c>
      <c r="K887" s="10"/>
      <c r="L887" s="96">
        <f t="shared" si="166"/>
        <v>6.57</v>
      </c>
      <c r="M887" s="111">
        <v>0.73</v>
      </c>
      <c r="N887" s="111">
        <v>5.84</v>
      </c>
      <c r="O887" s="15">
        <v>91</v>
      </c>
      <c r="P887" s="97">
        <v>100</v>
      </c>
      <c r="Q887" s="12">
        <f t="shared" si="167"/>
        <v>0</v>
      </c>
      <c r="R887" s="12" t="str">
        <f t="shared" si="168"/>
        <v>Không đạt</v>
      </c>
      <c r="S887" s="10"/>
      <c r="T887" s="95"/>
    </row>
    <row r="888" spans="1:21" s="84" customFormat="1" hidden="1" x14ac:dyDescent="0.25">
      <c r="A888" s="9" t="s">
        <v>151</v>
      </c>
      <c r="B888" s="1"/>
      <c r="C888" s="1" t="s">
        <v>694</v>
      </c>
      <c r="D888" s="15">
        <f t="shared" si="172"/>
        <v>3.9602970297029705</v>
      </c>
      <c r="E888" s="11">
        <v>0.99</v>
      </c>
      <c r="F888" s="11">
        <v>2.9702970297029703</v>
      </c>
      <c r="G888" s="15">
        <v>92</v>
      </c>
      <c r="H888" s="15">
        <v>100</v>
      </c>
      <c r="I888" s="12">
        <f t="shared" si="173"/>
        <v>0</v>
      </c>
      <c r="J888" s="12" t="str">
        <f t="shared" si="174"/>
        <v>Không đạt</v>
      </c>
      <c r="K888" s="10"/>
      <c r="L888" s="96">
        <f t="shared" si="166"/>
        <v>3.96</v>
      </c>
      <c r="M888" s="111">
        <v>0.99</v>
      </c>
      <c r="N888" s="111">
        <v>2.97</v>
      </c>
      <c r="O888" s="15">
        <v>92</v>
      </c>
      <c r="P888" s="97">
        <v>100</v>
      </c>
      <c r="Q888" s="12">
        <f t="shared" si="167"/>
        <v>0</v>
      </c>
      <c r="R888" s="12" t="str">
        <f t="shared" si="168"/>
        <v>Không đạt</v>
      </c>
      <c r="S888" s="10"/>
      <c r="T888" s="95"/>
    </row>
    <row r="889" spans="1:21" s="84" customFormat="1" hidden="1" x14ac:dyDescent="0.25">
      <c r="A889" s="9" t="s">
        <v>152</v>
      </c>
      <c r="B889" s="1"/>
      <c r="C889" s="1" t="s">
        <v>695</v>
      </c>
      <c r="D889" s="15">
        <f t="shared" si="172"/>
        <v>4.348260869565217</v>
      </c>
      <c r="E889" s="11">
        <v>0.87</v>
      </c>
      <c r="F889" s="11">
        <v>3.4782608695652173</v>
      </c>
      <c r="G889" s="15">
        <v>98</v>
      </c>
      <c r="H889" s="15">
        <v>100</v>
      </c>
      <c r="I889" s="12">
        <f t="shared" si="173"/>
        <v>0</v>
      </c>
      <c r="J889" s="12" t="str">
        <f t="shared" si="174"/>
        <v>Không đạt</v>
      </c>
      <c r="K889" s="10"/>
      <c r="L889" s="96">
        <f t="shared" si="166"/>
        <v>4.3499999999999996</v>
      </c>
      <c r="M889" s="111">
        <v>0.87</v>
      </c>
      <c r="N889" s="111">
        <v>3.48</v>
      </c>
      <c r="O889" s="15">
        <v>98</v>
      </c>
      <c r="P889" s="97">
        <v>100</v>
      </c>
      <c r="Q889" s="12">
        <f t="shared" si="167"/>
        <v>0</v>
      </c>
      <c r="R889" s="12" t="str">
        <f t="shared" si="168"/>
        <v>Không đạt</v>
      </c>
      <c r="S889" s="10"/>
      <c r="T889" s="95"/>
    </row>
    <row r="890" spans="1:21" s="84" customFormat="1" hidden="1" x14ac:dyDescent="0.25">
      <c r="A890" s="9" t="s">
        <v>153</v>
      </c>
      <c r="B890" s="1"/>
      <c r="C890" s="1" t="s">
        <v>696</v>
      </c>
      <c r="D890" s="15">
        <f t="shared" si="172"/>
        <v>6.666666666666667</v>
      </c>
      <c r="E890" s="11">
        <v>1.8181818181818181</v>
      </c>
      <c r="F890" s="11">
        <v>4.8484848484848486</v>
      </c>
      <c r="G890" s="15">
        <v>89</v>
      </c>
      <c r="H890" s="15">
        <v>98</v>
      </c>
      <c r="I890" s="12">
        <f t="shared" si="173"/>
        <v>0</v>
      </c>
      <c r="J890" s="12" t="str">
        <f t="shared" si="174"/>
        <v>Không đạt</v>
      </c>
      <c r="K890" s="10"/>
      <c r="L890" s="96">
        <f t="shared" si="166"/>
        <v>6.67</v>
      </c>
      <c r="M890" s="111">
        <v>1.82</v>
      </c>
      <c r="N890" s="111">
        <v>4.8499999999999996</v>
      </c>
      <c r="O890" s="15">
        <v>89</v>
      </c>
      <c r="P890" s="97">
        <v>100</v>
      </c>
      <c r="Q890" s="12">
        <f t="shared" si="167"/>
        <v>0</v>
      </c>
      <c r="R890" s="12" t="str">
        <f t="shared" si="168"/>
        <v>Không đạt</v>
      </c>
      <c r="S890" s="10"/>
      <c r="T890" s="95"/>
    </row>
    <row r="891" spans="1:21" s="84" customFormat="1" hidden="1" x14ac:dyDescent="0.25">
      <c r="A891" s="9" t="s">
        <v>154</v>
      </c>
      <c r="B891" s="1"/>
      <c r="C891" s="1" t="s">
        <v>515</v>
      </c>
      <c r="D891" s="15">
        <f t="shared" si="172"/>
        <v>7.1942446043165464</v>
      </c>
      <c r="E891" s="11">
        <v>1.4388489208633093</v>
      </c>
      <c r="F891" s="11">
        <v>5.7553956834532372</v>
      </c>
      <c r="G891" s="15">
        <v>88</v>
      </c>
      <c r="H891" s="15">
        <v>100</v>
      </c>
      <c r="I891" s="12">
        <f t="shared" si="173"/>
        <v>0</v>
      </c>
      <c r="J891" s="12" t="str">
        <f t="shared" si="174"/>
        <v>Không đạt</v>
      </c>
      <c r="K891" s="10"/>
      <c r="L891" s="96">
        <f t="shared" si="166"/>
        <v>7.1999999999999993</v>
      </c>
      <c r="M891" s="111">
        <v>1.44</v>
      </c>
      <c r="N891" s="111">
        <v>5.76</v>
      </c>
      <c r="O891" s="15">
        <v>88</v>
      </c>
      <c r="P891" s="97">
        <v>100</v>
      </c>
      <c r="Q891" s="12">
        <f t="shared" si="167"/>
        <v>0</v>
      </c>
      <c r="R891" s="12" t="str">
        <f t="shared" si="168"/>
        <v>Không đạt</v>
      </c>
      <c r="S891" s="10"/>
      <c r="T891" s="95"/>
    </row>
    <row r="892" spans="1:21" s="84" customFormat="1" hidden="1" x14ac:dyDescent="0.25">
      <c r="A892" s="9" t="s">
        <v>155</v>
      </c>
      <c r="B892" s="1"/>
      <c r="C892" s="1" t="s">
        <v>697</v>
      </c>
      <c r="D892" s="15">
        <f t="shared" si="172"/>
        <v>5.4545454545454541</v>
      </c>
      <c r="E892" s="11">
        <v>1.2121212121212122</v>
      </c>
      <c r="F892" s="11">
        <v>4.2424242424242422</v>
      </c>
      <c r="G892" s="15">
        <v>91</v>
      </c>
      <c r="H892" s="15">
        <v>100</v>
      </c>
      <c r="I892" s="12">
        <f t="shared" si="173"/>
        <v>0</v>
      </c>
      <c r="J892" s="12" t="str">
        <f t="shared" si="174"/>
        <v>Không đạt</v>
      </c>
      <c r="K892" s="10"/>
      <c r="L892" s="96">
        <f t="shared" si="166"/>
        <v>5.45</v>
      </c>
      <c r="M892" s="111">
        <v>1.21</v>
      </c>
      <c r="N892" s="111">
        <v>4.24</v>
      </c>
      <c r="O892" s="15">
        <v>91</v>
      </c>
      <c r="P892" s="97">
        <v>100</v>
      </c>
      <c r="Q892" s="12">
        <f t="shared" si="167"/>
        <v>0</v>
      </c>
      <c r="R892" s="12" t="str">
        <f t="shared" si="168"/>
        <v>Không đạt</v>
      </c>
      <c r="S892" s="10"/>
      <c r="T892" s="95"/>
    </row>
    <row r="893" spans="1:21" s="84" customFormat="1" hidden="1" x14ac:dyDescent="0.25">
      <c r="A893" s="9" t="s">
        <v>156</v>
      </c>
      <c r="B893" s="1"/>
      <c r="C893" s="1" t="s">
        <v>698</v>
      </c>
      <c r="D893" s="15">
        <f t="shared" si="172"/>
        <v>7.4074074074074066</v>
      </c>
      <c r="E893" s="11">
        <v>1.4814814814814814</v>
      </c>
      <c r="F893" s="11">
        <v>5.9259259259259256</v>
      </c>
      <c r="G893" s="15">
        <v>91</v>
      </c>
      <c r="H893" s="15">
        <v>100</v>
      </c>
      <c r="I893" s="12">
        <f t="shared" si="173"/>
        <v>0</v>
      </c>
      <c r="J893" s="12" t="str">
        <f t="shared" si="174"/>
        <v>Không đạt</v>
      </c>
      <c r="K893" s="10"/>
      <c r="L893" s="96">
        <f t="shared" si="166"/>
        <v>7.41</v>
      </c>
      <c r="M893" s="111">
        <v>1.48</v>
      </c>
      <c r="N893" s="111">
        <v>5.93</v>
      </c>
      <c r="O893" s="15">
        <v>91</v>
      </c>
      <c r="P893" s="97">
        <v>100</v>
      </c>
      <c r="Q893" s="12">
        <f t="shared" si="167"/>
        <v>0</v>
      </c>
      <c r="R893" s="12" t="str">
        <f t="shared" si="168"/>
        <v>Không đạt</v>
      </c>
      <c r="S893" s="10"/>
      <c r="T893" s="95"/>
    </row>
    <row r="894" spans="1:21" s="84" customFormat="1" hidden="1" x14ac:dyDescent="0.25">
      <c r="A894" s="9" t="s">
        <v>157</v>
      </c>
      <c r="B894" s="1"/>
      <c r="C894" s="1" t="s">
        <v>699</v>
      </c>
      <c r="D894" s="15">
        <f t="shared" si="172"/>
        <v>4.4553465346534651</v>
      </c>
      <c r="E894" s="11">
        <v>0.99</v>
      </c>
      <c r="F894" s="11">
        <v>3.4653465346534653</v>
      </c>
      <c r="G894" s="15">
        <v>92</v>
      </c>
      <c r="H894" s="15">
        <v>100</v>
      </c>
      <c r="I894" s="12">
        <f t="shared" si="173"/>
        <v>0</v>
      </c>
      <c r="J894" s="12" t="str">
        <f t="shared" si="174"/>
        <v>Không đạt</v>
      </c>
      <c r="K894" s="10"/>
      <c r="L894" s="96">
        <f t="shared" si="166"/>
        <v>4.46</v>
      </c>
      <c r="M894" s="111">
        <v>0.99</v>
      </c>
      <c r="N894" s="111">
        <v>3.47</v>
      </c>
      <c r="O894" s="15">
        <v>92</v>
      </c>
      <c r="P894" s="97">
        <v>100</v>
      </c>
      <c r="Q894" s="12">
        <f t="shared" si="167"/>
        <v>0</v>
      </c>
      <c r="R894" s="12" t="str">
        <f t="shared" si="168"/>
        <v>Không đạt</v>
      </c>
      <c r="S894" s="10"/>
      <c r="T894" s="95"/>
    </row>
    <row r="895" spans="1:21" s="84" customFormat="1" hidden="1" x14ac:dyDescent="0.25">
      <c r="A895" s="9" t="s">
        <v>158</v>
      </c>
      <c r="B895" s="1"/>
      <c r="C895" s="1" t="s">
        <v>700</v>
      </c>
      <c r="D895" s="15">
        <f t="shared" si="172"/>
        <v>4.5715686274509801</v>
      </c>
      <c r="E895" s="11">
        <v>0.65</v>
      </c>
      <c r="F895" s="11">
        <v>3.9215686274509802</v>
      </c>
      <c r="G895" s="15">
        <v>93</v>
      </c>
      <c r="H895" s="15">
        <v>100</v>
      </c>
      <c r="I895" s="12">
        <f t="shared" si="173"/>
        <v>0</v>
      </c>
      <c r="J895" s="12" t="str">
        <f t="shared" si="174"/>
        <v>Không đạt</v>
      </c>
      <c r="K895" s="10"/>
      <c r="L895" s="96">
        <f t="shared" si="166"/>
        <v>4.57</v>
      </c>
      <c r="M895" s="111">
        <v>0.65</v>
      </c>
      <c r="N895" s="111">
        <v>3.92</v>
      </c>
      <c r="O895" s="15">
        <v>93</v>
      </c>
      <c r="P895" s="97">
        <v>100</v>
      </c>
      <c r="Q895" s="12">
        <f t="shared" si="167"/>
        <v>0</v>
      </c>
      <c r="R895" s="12" t="str">
        <f t="shared" si="168"/>
        <v>Không đạt</v>
      </c>
      <c r="S895" s="10"/>
      <c r="T895" s="95"/>
    </row>
    <row r="896" spans="1:21" s="84" customFormat="1" ht="30" x14ac:dyDescent="0.25">
      <c r="A896" s="9" t="s">
        <v>159</v>
      </c>
      <c r="B896" s="1"/>
      <c r="C896" s="1" t="s">
        <v>546</v>
      </c>
      <c r="D896" s="15">
        <f t="shared" si="172"/>
        <v>12.698412698412698</v>
      </c>
      <c r="E896" s="11">
        <v>1.5873015873015872</v>
      </c>
      <c r="F896" s="11">
        <v>11.111111111111111</v>
      </c>
      <c r="G896" s="15">
        <v>54</v>
      </c>
      <c r="H896" s="15">
        <v>76</v>
      </c>
      <c r="I896" s="12">
        <f t="shared" si="173"/>
        <v>2</v>
      </c>
      <c r="J896" s="12" t="str">
        <f t="shared" si="174"/>
        <v>Đạt</v>
      </c>
      <c r="K896" s="10"/>
      <c r="L896" s="96">
        <f t="shared" si="166"/>
        <v>12.7</v>
      </c>
      <c r="M896" s="111">
        <v>1.59</v>
      </c>
      <c r="N896" s="111">
        <v>11.11</v>
      </c>
      <c r="O896" s="15">
        <v>54</v>
      </c>
      <c r="P896" s="121">
        <v>100</v>
      </c>
      <c r="Q896" s="12">
        <f t="shared" si="167"/>
        <v>1</v>
      </c>
      <c r="R896" s="12" t="str">
        <f t="shared" si="168"/>
        <v>Không đạt</v>
      </c>
      <c r="S896" s="43" t="s">
        <v>1185</v>
      </c>
      <c r="T896" s="95"/>
    </row>
    <row r="897" spans="1:20" s="84" customFormat="1" hidden="1" x14ac:dyDescent="0.25">
      <c r="A897" s="9" t="s">
        <v>160</v>
      </c>
      <c r="B897" s="1"/>
      <c r="C897" s="1" t="s">
        <v>701</v>
      </c>
      <c r="D897" s="15">
        <f t="shared" si="172"/>
        <v>13.157894736842106</v>
      </c>
      <c r="E897" s="11">
        <v>2.6315789473684212</v>
      </c>
      <c r="F897" s="11">
        <v>10.526315789473685</v>
      </c>
      <c r="G897" s="15">
        <v>53</v>
      </c>
      <c r="H897" s="15">
        <v>78</v>
      </c>
      <c r="I897" s="12">
        <f t="shared" si="173"/>
        <v>2</v>
      </c>
      <c r="J897" s="12" t="str">
        <f t="shared" si="174"/>
        <v>Đạt</v>
      </c>
      <c r="K897" s="10"/>
      <c r="L897" s="96">
        <f t="shared" si="166"/>
        <v>13.16</v>
      </c>
      <c r="M897" s="111">
        <v>2.63</v>
      </c>
      <c r="N897" s="111">
        <v>10.53</v>
      </c>
      <c r="O897" s="15">
        <v>53</v>
      </c>
      <c r="P897" s="121">
        <v>75.757575757575751</v>
      </c>
      <c r="Q897" s="12">
        <f t="shared" si="167"/>
        <v>2</v>
      </c>
      <c r="R897" s="12" t="str">
        <f t="shared" si="168"/>
        <v>Đạt</v>
      </c>
      <c r="S897" s="10"/>
      <c r="T897" s="95"/>
    </row>
    <row r="898" spans="1:20" s="84" customFormat="1" hidden="1" x14ac:dyDescent="0.25">
      <c r="A898" s="9" t="s">
        <v>161</v>
      </c>
      <c r="B898" s="1"/>
      <c r="C898" s="1" t="s">
        <v>702</v>
      </c>
      <c r="D898" s="15">
        <f t="shared" si="172"/>
        <v>9.3749999999999964</v>
      </c>
      <c r="E898" s="11">
        <v>2.0833333333333299</v>
      </c>
      <c r="F898" s="11">
        <v>7.291666666666667</v>
      </c>
      <c r="G898" s="15">
        <v>95</v>
      </c>
      <c r="H898" s="15">
        <v>100</v>
      </c>
      <c r="I898" s="12">
        <f t="shared" si="173"/>
        <v>0</v>
      </c>
      <c r="J898" s="12" t="str">
        <f t="shared" si="174"/>
        <v>Không đạt</v>
      </c>
      <c r="K898" s="10"/>
      <c r="L898" s="96">
        <f t="shared" si="166"/>
        <v>9.370000000000001</v>
      </c>
      <c r="M898" s="111">
        <v>2.08</v>
      </c>
      <c r="N898" s="111">
        <v>7.29</v>
      </c>
      <c r="O898" s="15">
        <v>95</v>
      </c>
      <c r="P898" s="121">
        <v>100</v>
      </c>
      <c r="Q898" s="12">
        <f t="shared" si="167"/>
        <v>0</v>
      </c>
      <c r="R898" s="12" t="str">
        <f t="shared" si="168"/>
        <v>Không đạt</v>
      </c>
      <c r="S898" s="10"/>
      <c r="T898" s="95"/>
    </row>
    <row r="899" spans="1:20" s="84" customFormat="1" hidden="1" x14ac:dyDescent="0.25">
      <c r="A899" s="9" t="s">
        <v>162</v>
      </c>
      <c r="B899" s="1"/>
      <c r="C899" s="1" t="s">
        <v>703</v>
      </c>
      <c r="D899" s="15">
        <f t="shared" si="172"/>
        <v>4.666666666666667</v>
      </c>
      <c r="E899" s="11">
        <v>2</v>
      </c>
      <c r="F899" s="11">
        <v>2.666666666666667</v>
      </c>
      <c r="G899" s="15">
        <v>81</v>
      </c>
      <c r="H899" s="15">
        <v>100</v>
      </c>
      <c r="I899" s="12">
        <f t="shared" si="173"/>
        <v>0</v>
      </c>
      <c r="J899" s="12" t="str">
        <f t="shared" si="174"/>
        <v>Không đạt</v>
      </c>
      <c r="K899" s="10"/>
      <c r="L899" s="96">
        <f t="shared" si="166"/>
        <v>4.67</v>
      </c>
      <c r="M899" s="111">
        <v>2</v>
      </c>
      <c r="N899" s="111">
        <v>2.67</v>
      </c>
      <c r="O899" s="15">
        <v>81</v>
      </c>
      <c r="P899" s="121">
        <v>100</v>
      </c>
      <c r="Q899" s="12">
        <f t="shared" si="167"/>
        <v>0</v>
      </c>
      <c r="R899" s="12" t="str">
        <f t="shared" si="168"/>
        <v>Không đạt</v>
      </c>
      <c r="S899" s="10"/>
      <c r="T899" s="95"/>
    </row>
    <row r="900" spans="1:20" s="84" customFormat="1" hidden="1" x14ac:dyDescent="0.25">
      <c r="A900" s="9" t="s">
        <v>163</v>
      </c>
      <c r="B900" s="1"/>
      <c r="C900" s="1" t="s">
        <v>704</v>
      </c>
      <c r="D900" s="15">
        <f t="shared" si="172"/>
        <v>8.6280487804878057</v>
      </c>
      <c r="E900" s="11">
        <v>3.75</v>
      </c>
      <c r="F900" s="11">
        <v>4.8780487804878048</v>
      </c>
      <c r="G900" s="15">
        <v>73</v>
      </c>
      <c r="H900" s="15">
        <v>100</v>
      </c>
      <c r="I900" s="12">
        <f t="shared" si="173"/>
        <v>0</v>
      </c>
      <c r="J900" s="12" t="str">
        <f t="shared" si="174"/>
        <v>Không đạt</v>
      </c>
      <c r="K900" s="10"/>
      <c r="L900" s="96">
        <f t="shared" si="166"/>
        <v>8.629999999999999</v>
      </c>
      <c r="M900" s="111">
        <v>3.75</v>
      </c>
      <c r="N900" s="111">
        <v>4.88</v>
      </c>
      <c r="O900" s="15">
        <v>73</v>
      </c>
      <c r="P900" s="121">
        <v>100</v>
      </c>
      <c r="Q900" s="12">
        <f t="shared" si="167"/>
        <v>0</v>
      </c>
      <c r="R900" s="12" t="str">
        <f t="shared" si="168"/>
        <v>Không đạt</v>
      </c>
      <c r="S900" s="10"/>
      <c r="T900" s="95"/>
    </row>
    <row r="901" spans="1:20" s="84" customFormat="1" hidden="1" x14ac:dyDescent="0.25">
      <c r="A901" s="9" t="s">
        <v>164</v>
      </c>
      <c r="B901" s="1"/>
      <c r="C901" s="1" t="s">
        <v>705</v>
      </c>
      <c r="D901" s="15">
        <f t="shared" si="172"/>
        <v>7.1942446043165464</v>
      </c>
      <c r="E901" s="11">
        <v>2.1582733812949639</v>
      </c>
      <c r="F901" s="11">
        <v>5.0359712230215825</v>
      </c>
      <c r="G901" s="15">
        <v>81</v>
      </c>
      <c r="H901" s="15">
        <v>100</v>
      </c>
      <c r="I901" s="12">
        <f t="shared" si="173"/>
        <v>0</v>
      </c>
      <c r="J901" s="12" t="str">
        <f t="shared" si="174"/>
        <v>Không đạt</v>
      </c>
      <c r="K901" s="10"/>
      <c r="L901" s="96">
        <f t="shared" si="166"/>
        <v>7.04</v>
      </c>
      <c r="M901" s="111">
        <v>2</v>
      </c>
      <c r="N901" s="111">
        <v>5.04</v>
      </c>
      <c r="O901" s="15">
        <v>81</v>
      </c>
      <c r="P901" s="121">
        <v>100</v>
      </c>
      <c r="Q901" s="12">
        <f t="shared" si="167"/>
        <v>0</v>
      </c>
      <c r="R901" s="12" t="str">
        <f t="shared" si="168"/>
        <v>Không đạt</v>
      </c>
      <c r="S901" s="10"/>
      <c r="T901" s="95"/>
    </row>
    <row r="902" spans="1:20" s="84" customFormat="1" hidden="1" x14ac:dyDescent="0.25">
      <c r="A902" s="9" t="s">
        <v>165</v>
      </c>
      <c r="B902" s="1"/>
      <c r="C902" s="1" t="s">
        <v>706</v>
      </c>
      <c r="D902" s="15">
        <f t="shared" si="172"/>
        <v>4.3478260869565215</v>
      </c>
      <c r="E902" s="11">
        <v>2.6086956521739131</v>
      </c>
      <c r="F902" s="11">
        <v>1.7391304347826086</v>
      </c>
      <c r="G902" s="15">
        <v>86</v>
      </c>
      <c r="H902" s="15">
        <v>100</v>
      </c>
      <c r="I902" s="12">
        <f t="shared" si="173"/>
        <v>0</v>
      </c>
      <c r="J902" s="12" t="str">
        <f t="shared" si="174"/>
        <v>Không đạt</v>
      </c>
      <c r="K902" s="10"/>
      <c r="L902" s="96">
        <f t="shared" si="166"/>
        <v>4.3499999999999996</v>
      </c>
      <c r="M902" s="111">
        <v>2.61</v>
      </c>
      <c r="N902" s="111">
        <v>1.74</v>
      </c>
      <c r="O902" s="15">
        <v>86</v>
      </c>
      <c r="P902" s="121">
        <v>100</v>
      </c>
      <c r="Q902" s="12">
        <f t="shared" si="167"/>
        <v>0</v>
      </c>
      <c r="R902" s="12" t="str">
        <f t="shared" si="168"/>
        <v>Không đạt</v>
      </c>
      <c r="S902" s="10"/>
      <c r="T902" s="95"/>
    </row>
    <row r="903" spans="1:20" s="84" customFormat="1" hidden="1" x14ac:dyDescent="0.25">
      <c r="A903" s="9" t="s">
        <v>166</v>
      </c>
      <c r="B903" s="1"/>
      <c r="C903" s="1" t="s">
        <v>707</v>
      </c>
      <c r="D903" s="15">
        <f t="shared" si="172"/>
        <v>6.3380281690140849</v>
      </c>
      <c r="E903" s="11">
        <v>2.8169014084507045</v>
      </c>
      <c r="F903" s="11">
        <v>3.5211267605633805</v>
      </c>
      <c r="G903" s="15">
        <v>71</v>
      </c>
      <c r="H903" s="15">
        <v>100</v>
      </c>
      <c r="I903" s="12">
        <f t="shared" si="173"/>
        <v>0</v>
      </c>
      <c r="J903" s="12" t="str">
        <f t="shared" si="174"/>
        <v>Không đạt</v>
      </c>
      <c r="K903" s="10"/>
      <c r="L903" s="96">
        <f t="shared" si="166"/>
        <v>6.34</v>
      </c>
      <c r="M903" s="111">
        <v>2.82</v>
      </c>
      <c r="N903" s="111">
        <v>3.52</v>
      </c>
      <c r="O903" s="15">
        <v>71</v>
      </c>
      <c r="P903" s="121">
        <v>100</v>
      </c>
      <c r="Q903" s="12">
        <f t="shared" si="167"/>
        <v>0</v>
      </c>
      <c r="R903" s="12" t="str">
        <f t="shared" si="168"/>
        <v>Không đạt</v>
      </c>
      <c r="S903" s="10"/>
      <c r="T903" s="95"/>
    </row>
    <row r="904" spans="1:20" s="84" customFormat="1" hidden="1" x14ac:dyDescent="0.25">
      <c r="A904" s="9" t="s">
        <v>167</v>
      </c>
      <c r="B904" s="1"/>
      <c r="C904" s="1" t="s">
        <v>708</v>
      </c>
      <c r="D904" s="15">
        <f t="shared" si="172"/>
        <v>6.593406593406594</v>
      </c>
      <c r="E904" s="11">
        <v>3.296703296703297</v>
      </c>
      <c r="F904" s="11">
        <v>3.296703296703297</v>
      </c>
      <c r="G904" s="15">
        <v>81</v>
      </c>
      <c r="H904" s="15">
        <v>100</v>
      </c>
      <c r="I904" s="12">
        <f t="shared" si="173"/>
        <v>0</v>
      </c>
      <c r="J904" s="12" t="str">
        <f t="shared" si="174"/>
        <v>Không đạt</v>
      </c>
      <c r="K904" s="10"/>
      <c r="L904" s="96">
        <f t="shared" si="166"/>
        <v>6.6</v>
      </c>
      <c r="M904" s="111">
        <v>3.3</v>
      </c>
      <c r="N904" s="111">
        <v>3.3</v>
      </c>
      <c r="O904" s="15">
        <v>81</v>
      </c>
      <c r="P904" s="121">
        <v>100</v>
      </c>
      <c r="Q904" s="12">
        <f t="shared" si="167"/>
        <v>0</v>
      </c>
      <c r="R904" s="12" t="str">
        <f t="shared" si="168"/>
        <v>Không đạt</v>
      </c>
      <c r="S904" s="10"/>
      <c r="T904" s="95"/>
    </row>
    <row r="905" spans="1:20" s="84" customFormat="1" hidden="1" x14ac:dyDescent="0.25">
      <c r="A905" s="9" t="s">
        <v>168</v>
      </c>
      <c r="B905" s="1"/>
      <c r="C905" s="1" t="s">
        <v>709</v>
      </c>
      <c r="D905" s="15">
        <f t="shared" si="172"/>
        <v>8.3333333333333339</v>
      </c>
      <c r="E905" s="11">
        <v>3.125</v>
      </c>
      <c r="F905" s="11">
        <v>5.2083333333333339</v>
      </c>
      <c r="G905" s="15">
        <v>74</v>
      </c>
      <c r="H905" s="15">
        <v>100</v>
      </c>
      <c r="I905" s="12">
        <f t="shared" si="173"/>
        <v>0</v>
      </c>
      <c r="J905" s="12" t="str">
        <f t="shared" si="174"/>
        <v>Không đạt</v>
      </c>
      <c r="K905" s="10"/>
      <c r="L905" s="96">
        <f t="shared" si="166"/>
        <v>8.34</v>
      </c>
      <c r="M905" s="111">
        <v>3.13</v>
      </c>
      <c r="N905" s="111">
        <v>5.21</v>
      </c>
      <c r="O905" s="15">
        <v>74</v>
      </c>
      <c r="P905" s="121">
        <v>100</v>
      </c>
      <c r="Q905" s="12">
        <f t="shared" si="167"/>
        <v>0</v>
      </c>
      <c r="R905" s="12" t="str">
        <f t="shared" si="168"/>
        <v>Không đạt</v>
      </c>
      <c r="S905" s="10"/>
      <c r="T905" s="95"/>
    </row>
    <row r="906" spans="1:20" s="84" customFormat="1" hidden="1" x14ac:dyDescent="0.25">
      <c r="A906" s="9" t="s">
        <v>169</v>
      </c>
      <c r="B906" s="1"/>
      <c r="C906" s="1" t="s">
        <v>710</v>
      </c>
      <c r="D906" s="15">
        <f t="shared" si="172"/>
        <v>11.688311688311689</v>
      </c>
      <c r="E906" s="11">
        <v>3.8961038961038961</v>
      </c>
      <c r="F906" s="11">
        <v>7.7922077922077921</v>
      </c>
      <c r="G906" s="15">
        <v>73</v>
      </c>
      <c r="H906" s="15">
        <v>100</v>
      </c>
      <c r="I906" s="12">
        <f t="shared" si="173"/>
        <v>0</v>
      </c>
      <c r="J906" s="12" t="str">
        <f t="shared" si="174"/>
        <v>Không đạt</v>
      </c>
      <c r="K906" s="10"/>
      <c r="L906" s="96">
        <f t="shared" si="166"/>
        <v>11.69</v>
      </c>
      <c r="M906" s="111">
        <v>3.9</v>
      </c>
      <c r="N906" s="111">
        <v>7.79</v>
      </c>
      <c r="O906" s="15">
        <v>73</v>
      </c>
      <c r="P906" s="121">
        <v>100</v>
      </c>
      <c r="Q906" s="12">
        <f t="shared" si="167"/>
        <v>0</v>
      </c>
      <c r="R906" s="12" t="str">
        <f t="shared" si="168"/>
        <v>Không đạt</v>
      </c>
      <c r="S906" s="10"/>
      <c r="T906" s="95"/>
    </row>
    <row r="907" spans="1:20" s="84" customFormat="1" hidden="1" x14ac:dyDescent="0.25">
      <c r="A907" s="9" t="s">
        <v>170</v>
      </c>
      <c r="B907" s="1"/>
      <c r="C907" s="1" t="s">
        <v>711</v>
      </c>
      <c r="D907" s="15">
        <f t="shared" si="172"/>
        <v>5.26</v>
      </c>
      <c r="E907" s="11">
        <v>1.75</v>
      </c>
      <c r="F907" s="11">
        <v>3.51</v>
      </c>
      <c r="G907" s="15">
        <v>87</v>
      </c>
      <c r="H907" s="15">
        <v>100</v>
      </c>
      <c r="I907" s="12">
        <f t="shared" si="173"/>
        <v>0</v>
      </c>
      <c r="J907" s="12" t="str">
        <f t="shared" si="174"/>
        <v>Không đạt</v>
      </c>
      <c r="K907" s="10"/>
      <c r="L907" s="96">
        <f t="shared" si="166"/>
        <v>5.26</v>
      </c>
      <c r="M907" s="111">
        <v>1.75</v>
      </c>
      <c r="N907" s="111">
        <v>3.51</v>
      </c>
      <c r="O907" s="15">
        <v>87</v>
      </c>
      <c r="P907" s="121">
        <v>100</v>
      </c>
      <c r="Q907" s="12">
        <f t="shared" si="167"/>
        <v>0</v>
      </c>
      <c r="R907" s="12" t="str">
        <f t="shared" si="168"/>
        <v>Không đạt</v>
      </c>
      <c r="S907" s="10"/>
      <c r="T907" s="95"/>
    </row>
    <row r="908" spans="1:20" s="84" customFormat="1" hidden="1" x14ac:dyDescent="0.25">
      <c r="A908" s="9" t="s">
        <v>171</v>
      </c>
      <c r="B908" s="1"/>
      <c r="C908" s="1" t="s">
        <v>712</v>
      </c>
      <c r="D908" s="15">
        <f t="shared" si="172"/>
        <v>4.42</v>
      </c>
      <c r="E908" s="11">
        <v>0.88</v>
      </c>
      <c r="F908" s="11">
        <v>3.54</v>
      </c>
      <c r="G908" s="15">
        <v>90</v>
      </c>
      <c r="H908" s="15">
        <v>100</v>
      </c>
      <c r="I908" s="12">
        <f t="shared" si="173"/>
        <v>0</v>
      </c>
      <c r="J908" s="12" t="str">
        <f t="shared" si="174"/>
        <v>Không đạt</v>
      </c>
      <c r="K908" s="10"/>
      <c r="L908" s="96">
        <f t="shared" si="166"/>
        <v>4.42</v>
      </c>
      <c r="M908" s="111">
        <v>0.88</v>
      </c>
      <c r="N908" s="111">
        <v>3.54</v>
      </c>
      <c r="O908" s="15">
        <v>90</v>
      </c>
      <c r="P908" s="121">
        <v>100</v>
      </c>
      <c r="Q908" s="12">
        <f t="shared" si="167"/>
        <v>0</v>
      </c>
      <c r="R908" s="12" t="str">
        <f t="shared" si="168"/>
        <v>Không đạt</v>
      </c>
      <c r="S908" s="10"/>
      <c r="T908" s="95"/>
    </row>
    <row r="909" spans="1:20" s="84" customFormat="1" hidden="1" x14ac:dyDescent="0.25">
      <c r="A909" s="9" t="s">
        <v>172</v>
      </c>
      <c r="B909" s="1"/>
      <c r="C909" s="1" t="s">
        <v>713</v>
      </c>
      <c r="D909" s="15">
        <f t="shared" si="172"/>
        <v>3.25</v>
      </c>
      <c r="E909" s="11">
        <v>0.81</v>
      </c>
      <c r="F909" s="11">
        <v>2.44</v>
      </c>
      <c r="G909" s="15">
        <v>92</v>
      </c>
      <c r="H909" s="15">
        <v>100</v>
      </c>
      <c r="I909" s="12">
        <f t="shared" si="173"/>
        <v>0</v>
      </c>
      <c r="J909" s="12" t="str">
        <f t="shared" si="174"/>
        <v>Không đạt</v>
      </c>
      <c r="K909" s="10"/>
      <c r="L909" s="96">
        <f t="shared" si="166"/>
        <v>3.25</v>
      </c>
      <c r="M909" s="111">
        <v>0.81</v>
      </c>
      <c r="N909" s="111">
        <v>2.44</v>
      </c>
      <c r="O909" s="15">
        <v>92</v>
      </c>
      <c r="P909" s="121">
        <v>100</v>
      </c>
      <c r="Q909" s="12">
        <f t="shared" si="167"/>
        <v>0</v>
      </c>
      <c r="R909" s="12" t="str">
        <f t="shared" si="168"/>
        <v>Không đạt</v>
      </c>
      <c r="S909" s="10"/>
      <c r="T909" s="95"/>
    </row>
    <row r="910" spans="1:20" s="84" customFormat="1" hidden="1" x14ac:dyDescent="0.25">
      <c r="A910" s="9" t="s">
        <v>173</v>
      </c>
      <c r="B910" s="1"/>
      <c r="C910" s="1" t="s">
        <v>714</v>
      </c>
      <c r="D910" s="15">
        <f t="shared" si="172"/>
        <v>4.2</v>
      </c>
      <c r="E910" s="11">
        <v>0.84</v>
      </c>
      <c r="F910" s="11">
        <v>3.36</v>
      </c>
      <c r="G910" s="15">
        <v>93</v>
      </c>
      <c r="H910" s="15">
        <v>100</v>
      </c>
      <c r="I910" s="12">
        <f t="shared" si="173"/>
        <v>0</v>
      </c>
      <c r="J910" s="12" t="str">
        <f t="shared" si="174"/>
        <v>Không đạt</v>
      </c>
      <c r="K910" s="10"/>
      <c r="L910" s="96">
        <f t="shared" si="166"/>
        <v>4.2</v>
      </c>
      <c r="M910" s="111">
        <v>0.84</v>
      </c>
      <c r="N910" s="111">
        <v>3.36</v>
      </c>
      <c r="O910" s="15">
        <v>93</v>
      </c>
      <c r="P910" s="121">
        <v>100</v>
      </c>
      <c r="Q910" s="12">
        <f t="shared" si="167"/>
        <v>0</v>
      </c>
      <c r="R910" s="12" t="str">
        <f t="shared" si="168"/>
        <v>Không đạt</v>
      </c>
      <c r="S910" s="10"/>
      <c r="T910" s="95"/>
    </row>
    <row r="911" spans="1:20" s="84" customFormat="1" hidden="1" x14ac:dyDescent="0.25">
      <c r="A911" s="9" t="s">
        <v>174</v>
      </c>
      <c r="B911" s="1"/>
      <c r="C911" s="1" t="s">
        <v>715</v>
      </c>
      <c r="D911" s="15">
        <f t="shared" si="172"/>
        <v>4.04</v>
      </c>
      <c r="E911" s="11">
        <v>0.81</v>
      </c>
      <c r="F911" s="11">
        <v>3.23</v>
      </c>
      <c r="G911" s="15">
        <v>92</v>
      </c>
      <c r="H911" s="15">
        <v>100</v>
      </c>
      <c r="I911" s="12">
        <f t="shared" si="173"/>
        <v>0</v>
      </c>
      <c r="J911" s="12" t="str">
        <f t="shared" si="174"/>
        <v>Không đạt</v>
      </c>
      <c r="K911" s="10"/>
      <c r="L911" s="96">
        <f t="shared" si="166"/>
        <v>4.04</v>
      </c>
      <c r="M911" s="111">
        <v>0.81</v>
      </c>
      <c r="N911" s="111">
        <v>3.23</v>
      </c>
      <c r="O911" s="15">
        <v>92</v>
      </c>
      <c r="P911" s="121">
        <v>100</v>
      </c>
      <c r="Q911" s="12">
        <f t="shared" si="167"/>
        <v>0</v>
      </c>
      <c r="R911" s="12" t="str">
        <f t="shared" si="168"/>
        <v>Không đạt</v>
      </c>
      <c r="S911" s="10"/>
      <c r="T911" s="95"/>
    </row>
    <row r="912" spans="1:20" s="84" customFormat="1" hidden="1" x14ac:dyDescent="0.25">
      <c r="A912" s="9" t="s">
        <v>175</v>
      </c>
      <c r="B912" s="1"/>
      <c r="C912" s="1" t="s">
        <v>716</v>
      </c>
      <c r="D912" s="15">
        <f t="shared" si="172"/>
        <v>7.1499999999999995</v>
      </c>
      <c r="E912" s="11">
        <v>1.59</v>
      </c>
      <c r="F912" s="11">
        <v>5.56</v>
      </c>
      <c r="G912" s="15">
        <v>93</v>
      </c>
      <c r="H912" s="15">
        <v>100</v>
      </c>
      <c r="I912" s="12">
        <f t="shared" si="173"/>
        <v>0</v>
      </c>
      <c r="J912" s="12" t="str">
        <f t="shared" si="174"/>
        <v>Không đạt</v>
      </c>
      <c r="K912" s="10"/>
      <c r="L912" s="96">
        <f t="shared" si="166"/>
        <v>7.1499999999999995</v>
      </c>
      <c r="M912" s="111">
        <v>1.59</v>
      </c>
      <c r="N912" s="111">
        <v>5.56</v>
      </c>
      <c r="O912" s="15">
        <v>93</v>
      </c>
      <c r="P912" s="121">
        <v>100</v>
      </c>
      <c r="Q912" s="12">
        <f t="shared" si="167"/>
        <v>0</v>
      </c>
      <c r="R912" s="12" t="str">
        <f t="shared" si="168"/>
        <v>Không đạt</v>
      </c>
      <c r="S912" s="10"/>
      <c r="T912" s="95"/>
    </row>
    <row r="913" spans="1:21" s="84" customFormat="1" hidden="1" x14ac:dyDescent="0.25">
      <c r="A913" s="9" t="s">
        <v>176</v>
      </c>
      <c r="B913" s="1"/>
      <c r="C913" s="1" t="s">
        <v>717</v>
      </c>
      <c r="D913" s="15">
        <f t="shared" si="172"/>
        <v>3.9</v>
      </c>
      <c r="E913" s="11">
        <v>1.56</v>
      </c>
      <c r="F913" s="11">
        <v>2.34</v>
      </c>
      <c r="G913" s="15">
        <v>91</v>
      </c>
      <c r="H913" s="15">
        <v>100</v>
      </c>
      <c r="I913" s="12">
        <f t="shared" si="173"/>
        <v>0</v>
      </c>
      <c r="J913" s="12" t="str">
        <f t="shared" si="174"/>
        <v>Không đạt</v>
      </c>
      <c r="K913" s="10"/>
      <c r="L913" s="96">
        <f t="shared" si="166"/>
        <v>3.9</v>
      </c>
      <c r="M913" s="111">
        <v>1.56</v>
      </c>
      <c r="N913" s="111">
        <v>2.34</v>
      </c>
      <c r="O913" s="15">
        <v>91</v>
      </c>
      <c r="P913" s="121">
        <v>100</v>
      </c>
      <c r="Q913" s="12">
        <f t="shared" si="167"/>
        <v>0</v>
      </c>
      <c r="R913" s="12" t="str">
        <f t="shared" si="168"/>
        <v>Không đạt</v>
      </c>
      <c r="S913" s="10"/>
      <c r="T913" s="95"/>
    </row>
    <row r="914" spans="1:21" s="84" customFormat="1" hidden="1" x14ac:dyDescent="0.25">
      <c r="A914" s="9" t="s">
        <v>177</v>
      </c>
      <c r="B914" s="1"/>
      <c r="C914" s="1" t="s">
        <v>718</v>
      </c>
      <c r="D914" s="15">
        <f t="shared" si="172"/>
        <v>11.719999999999999</v>
      </c>
      <c r="E914" s="11">
        <v>6.31</v>
      </c>
      <c r="F914" s="11">
        <v>5.41</v>
      </c>
      <c r="G914" s="15">
        <v>91</v>
      </c>
      <c r="H914" s="15">
        <v>98</v>
      </c>
      <c r="I914" s="12">
        <f t="shared" si="173"/>
        <v>0</v>
      </c>
      <c r="J914" s="12" t="str">
        <f t="shared" si="174"/>
        <v>Không đạt</v>
      </c>
      <c r="K914" s="10"/>
      <c r="L914" s="96">
        <f t="shared" si="166"/>
        <v>11.719999999999999</v>
      </c>
      <c r="M914" s="111">
        <v>6.31</v>
      </c>
      <c r="N914" s="111">
        <v>5.41</v>
      </c>
      <c r="O914" s="15">
        <v>91</v>
      </c>
      <c r="P914" s="121">
        <v>98.795180722891573</v>
      </c>
      <c r="Q914" s="12">
        <f t="shared" si="167"/>
        <v>0</v>
      </c>
      <c r="R914" s="12" t="str">
        <f t="shared" si="168"/>
        <v>Không đạt</v>
      </c>
      <c r="S914" s="10"/>
      <c r="T914" s="95"/>
    </row>
    <row r="915" spans="1:21" s="84" customFormat="1" hidden="1" x14ac:dyDescent="0.25">
      <c r="A915" s="9" t="s">
        <v>178</v>
      </c>
      <c r="B915" s="1"/>
      <c r="C915" s="1" t="s">
        <v>719</v>
      </c>
      <c r="D915" s="15">
        <f t="shared" si="172"/>
        <v>3.79</v>
      </c>
      <c r="E915" s="11">
        <v>1.52</v>
      </c>
      <c r="F915" s="11">
        <v>2.27</v>
      </c>
      <c r="G915" s="15">
        <v>81</v>
      </c>
      <c r="H915" s="15">
        <v>100</v>
      </c>
      <c r="I915" s="12">
        <f t="shared" si="173"/>
        <v>0</v>
      </c>
      <c r="J915" s="12" t="str">
        <f t="shared" si="174"/>
        <v>Không đạt</v>
      </c>
      <c r="K915" s="10"/>
      <c r="L915" s="96">
        <f t="shared" si="166"/>
        <v>3.79</v>
      </c>
      <c r="M915" s="111">
        <v>1.52</v>
      </c>
      <c r="N915" s="111">
        <v>2.27</v>
      </c>
      <c r="O915" s="15">
        <v>81</v>
      </c>
      <c r="P915" s="121">
        <v>100</v>
      </c>
      <c r="Q915" s="12">
        <f t="shared" si="167"/>
        <v>0</v>
      </c>
      <c r="R915" s="12" t="str">
        <f t="shared" si="168"/>
        <v>Không đạt</v>
      </c>
      <c r="S915" s="10"/>
      <c r="T915" s="95"/>
    </row>
    <row r="916" spans="1:21" s="84" customFormat="1" hidden="1" x14ac:dyDescent="0.25">
      <c r="A916" s="9" t="s">
        <v>179</v>
      </c>
      <c r="B916" s="1"/>
      <c r="C916" s="1" t="s">
        <v>720</v>
      </c>
      <c r="D916" s="15">
        <f t="shared" si="172"/>
        <v>4.07</v>
      </c>
      <c r="E916" s="11">
        <v>1.63</v>
      </c>
      <c r="F916" s="11">
        <v>2.44</v>
      </c>
      <c r="G916" s="15">
        <v>98</v>
      </c>
      <c r="H916" s="15">
        <v>100</v>
      </c>
      <c r="I916" s="12">
        <f t="shared" si="173"/>
        <v>0</v>
      </c>
      <c r="J916" s="12" t="str">
        <f t="shared" si="174"/>
        <v>Không đạt</v>
      </c>
      <c r="K916" s="10"/>
      <c r="L916" s="96">
        <f t="shared" si="166"/>
        <v>4.07</v>
      </c>
      <c r="M916" s="111">
        <v>1.63</v>
      </c>
      <c r="N916" s="111">
        <v>2.44</v>
      </c>
      <c r="O916" s="15">
        <v>98</v>
      </c>
      <c r="P916" s="121">
        <v>100</v>
      </c>
      <c r="Q916" s="12">
        <f t="shared" si="167"/>
        <v>0</v>
      </c>
      <c r="R916" s="12" t="str">
        <f t="shared" si="168"/>
        <v>Không đạt</v>
      </c>
      <c r="S916" s="10"/>
      <c r="T916" s="95"/>
    </row>
    <row r="917" spans="1:21" s="84" customFormat="1" hidden="1" x14ac:dyDescent="0.25">
      <c r="A917" s="9" t="s">
        <v>180</v>
      </c>
      <c r="B917" s="1"/>
      <c r="C917" s="1" t="s">
        <v>721</v>
      </c>
      <c r="D917" s="15">
        <f t="shared" si="172"/>
        <v>4.1400000000000006</v>
      </c>
      <c r="E917" s="11">
        <v>0.69</v>
      </c>
      <c r="F917" s="11">
        <v>3.45</v>
      </c>
      <c r="G917" s="15">
        <v>84</v>
      </c>
      <c r="H917" s="15">
        <v>100</v>
      </c>
      <c r="I917" s="12">
        <f t="shared" si="173"/>
        <v>0</v>
      </c>
      <c r="J917" s="12" t="str">
        <f t="shared" si="174"/>
        <v>Không đạt</v>
      </c>
      <c r="K917" s="10"/>
      <c r="L917" s="96">
        <f t="shared" si="166"/>
        <v>4.1400000000000006</v>
      </c>
      <c r="M917" s="111">
        <v>0.69</v>
      </c>
      <c r="N917" s="111">
        <v>3.45</v>
      </c>
      <c r="O917" s="15">
        <v>84</v>
      </c>
      <c r="P917" s="121">
        <v>100</v>
      </c>
      <c r="Q917" s="12">
        <f t="shared" si="167"/>
        <v>0</v>
      </c>
      <c r="R917" s="12" t="str">
        <f t="shared" si="168"/>
        <v>Không đạt</v>
      </c>
      <c r="S917" s="10"/>
      <c r="T917" s="95"/>
    </row>
    <row r="918" spans="1:21" s="84" customFormat="1" hidden="1" x14ac:dyDescent="0.25">
      <c r="A918" s="9" t="s">
        <v>181</v>
      </c>
      <c r="B918" s="1"/>
      <c r="C918" s="1" t="s">
        <v>722</v>
      </c>
      <c r="D918" s="15">
        <f t="shared" si="172"/>
        <v>4.2</v>
      </c>
      <c r="E918" s="11">
        <v>0.7</v>
      </c>
      <c r="F918" s="11">
        <v>3.5</v>
      </c>
      <c r="G918" s="15">
        <v>87</v>
      </c>
      <c r="H918" s="15">
        <v>100</v>
      </c>
      <c r="I918" s="12">
        <f t="shared" si="173"/>
        <v>0</v>
      </c>
      <c r="J918" s="12" t="str">
        <f t="shared" si="174"/>
        <v>Không đạt</v>
      </c>
      <c r="K918" s="10"/>
      <c r="L918" s="96">
        <f t="shared" si="166"/>
        <v>4.2</v>
      </c>
      <c r="M918" s="111">
        <v>0.7</v>
      </c>
      <c r="N918" s="111">
        <v>3.5</v>
      </c>
      <c r="O918" s="15">
        <v>87</v>
      </c>
      <c r="P918" s="121">
        <v>100</v>
      </c>
      <c r="Q918" s="12">
        <f t="shared" si="167"/>
        <v>0</v>
      </c>
      <c r="R918" s="12" t="str">
        <f t="shared" si="168"/>
        <v>Không đạt</v>
      </c>
      <c r="S918" s="10"/>
      <c r="T918" s="95"/>
    </row>
    <row r="919" spans="1:21" s="84" customFormat="1" ht="30" x14ac:dyDescent="0.25">
      <c r="A919" s="9" t="s">
        <v>182</v>
      </c>
      <c r="B919" s="1"/>
      <c r="C919" s="1" t="s">
        <v>675</v>
      </c>
      <c r="D919" s="15">
        <f t="shared" si="172"/>
        <v>3.0300000000000002</v>
      </c>
      <c r="E919" s="11">
        <v>2.27</v>
      </c>
      <c r="F919" s="11">
        <v>0.76</v>
      </c>
      <c r="G919" s="15">
        <v>47</v>
      </c>
      <c r="H919" s="15">
        <v>77</v>
      </c>
      <c r="I919" s="12">
        <f t="shared" si="173"/>
        <v>2</v>
      </c>
      <c r="J919" s="12" t="str">
        <f t="shared" si="174"/>
        <v>Đạt</v>
      </c>
      <c r="K919" s="10"/>
      <c r="L919" s="96">
        <f t="shared" si="166"/>
        <v>3.0300000000000002</v>
      </c>
      <c r="M919" s="111">
        <v>2.27</v>
      </c>
      <c r="N919" s="111">
        <v>0.76</v>
      </c>
      <c r="O919" s="15">
        <v>47</v>
      </c>
      <c r="P919" s="121">
        <v>100</v>
      </c>
      <c r="Q919" s="12">
        <f t="shared" si="167"/>
        <v>1</v>
      </c>
      <c r="R919" s="12" t="str">
        <f t="shared" si="168"/>
        <v>Không đạt</v>
      </c>
      <c r="S919" s="43" t="s">
        <v>1185</v>
      </c>
      <c r="T919" s="95"/>
    </row>
    <row r="920" spans="1:21" s="84" customFormat="1" hidden="1" x14ac:dyDescent="0.25">
      <c r="A920" s="9" t="s">
        <v>183</v>
      </c>
      <c r="B920" s="1"/>
      <c r="C920" s="1" t="s">
        <v>723</v>
      </c>
      <c r="D920" s="15">
        <f t="shared" si="172"/>
        <v>12.67</v>
      </c>
      <c r="E920" s="11">
        <v>7.04</v>
      </c>
      <c r="F920" s="11">
        <v>5.63</v>
      </c>
      <c r="G920" s="15">
        <v>49</v>
      </c>
      <c r="H920" s="15">
        <v>74</v>
      </c>
      <c r="I920" s="12">
        <f t="shared" si="173"/>
        <v>2</v>
      </c>
      <c r="J920" s="12" t="str">
        <f t="shared" si="174"/>
        <v>Đạt</v>
      </c>
      <c r="K920" s="10"/>
      <c r="L920" s="96">
        <f t="shared" si="166"/>
        <v>12.67</v>
      </c>
      <c r="M920" s="111">
        <v>7.04</v>
      </c>
      <c r="N920" s="111">
        <v>5.63</v>
      </c>
      <c r="O920" s="15">
        <v>49</v>
      </c>
      <c r="P920" s="97">
        <v>76.92307692307692</v>
      </c>
      <c r="Q920" s="12">
        <f t="shared" si="167"/>
        <v>2</v>
      </c>
      <c r="R920" s="12" t="str">
        <f t="shared" si="168"/>
        <v>Đạt</v>
      </c>
      <c r="S920" s="10"/>
      <c r="T920" s="95"/>
    </row>
    <row r="921" spans="1:21" s="84" customFormat="1" hidden="1" x14ac:dyDescent="0.25">
      <c r="A921" s="9" t="s">
        <v>184</v>
      </c>
      <c r="B921" s="1"/>
      <c r="C921" s="1" t="s">
        <v>724</v>
      </c>
      <c r="D921" s="15">
        <f t="shared" si="172"/>
        <v>3.0300000000000002</v>
      </c>
      <c r="E921" s="11">
        <v>0.76</v>
      </c>
      <c r="F921" s="11">
        <v>2.27</v>
      </c>
      <c r="G921" s="15">
        <v>87</v>
      </c>
      <c r="H921" s="15">
        <v>100</v>
      </c>
      <c r="I921" s="12">
        <f t="shared" si="173"/>
        <v>0</v>
      </c>
      <c r="J921" s="12" t="str">
        <f t="shared" si="174"/>
        <v>Không đạt</v>
      </c>
      <c r="K921" s="10"/>
      <c r="L921" s="96">
        <f t="shared" si="166"/>
        <v>3.0300000000000002</v>
      </c>
      <c r="M921" s="111">
        <v>0.76</v>
      </c>
      <c r="N921" s="111">
        <v>2.27</v>
      </c>
      <c r="O921" s="15">
        <v>87</v>
      </c>
      <c r="P921" s="97">
        <v>100</v>
      </c>
      <c r="Q921" s="12">
        <f t="shared" si="167"/>
        <v>0</v>
      </c>
      <c r="R921" s="12" t="str">
        <f t="shared" si="168"/>
        <v>Không đạt</v>
      </c>
      <c r="S921" s="10"/>
      <c r="T921" s="95"/>
    </row>
    <row r="922" spans="1:21" s="84" customFormat="1" hidden="1" x14ac:dyDescent="0.25">
      <c r="A922" s="9" t="s">
        <v>185</v>
      </c>
      <c r="B922" s="1"/>
      <c r="C922" s="1" t="s">
        <v>725</v>
      </c>
      <c r="D922" s="15">
        <f>E922+F922</f>
        <v>3.57</v>
      </c>
      <c r="E922" s="11">
        <v>1.19</v>
      </c>
      <c r="F922" s="11">
        <v>2.38</v>
      </c>
      <c r="G922" s="15">
        <v>82</v>
      </c>
      <c r="H922" s="15">
        <v>100</v>
      </c>
      <c r="I922" s="12">
        <f t="shared" si="173"/>
        <v>0</v>
      </c>
      <c r="J922" s="12" t="str">
        <f t="shared" si="174"/>
        <v>Không đạt</v>
      </c>
      <c r="K922" s="10"/>
      <c r="L922" s="96">
        <f t="shared" si="166"/>
        <v>3.57</v>
      </c>
      <c r="M922" s="111">
        <v>1.19</v>
      </c>
      <c r="N922" s="111">
        <v>2.38</v>
      </c>
      <c r="O922" s="15">
        <v>82</v>
      </c>
      <c r="P922" s="97">
        <v>100</v>
      </c>
      <c r="Q922" s="12">
        <f t="shared" si="167"/>
        <v>0</v>
      </c>
      <c r="R922" s="12" t="str">
        <f t="shared" si="168"/>
        <v>Không đạt</v>
      </c>
      <c r="S922" s="10"/>
      <c r="T922" s="95"/>
    </row>
    <row r="923" spans="1:21" s="100" customFormat="1" x14ac:dyDescent="0.25">
      <c r="A923" s="19" t="s">
        <v>726</v>
      </c>
      <c r="B923" s="20" t="s">
        <v>104</v>
      </c>
      <c r="C923" s="20"/>
      <c r="D923" s="22"/>
      <c r="E923" s="104"/>
      <c r="F923" s="104"/>
      <c r="G923" s="22"/>
      <c r="H923" s="22"/>
      <c r="I923" s="89"/>
      <c r="J923" s="89"/>
      <c r="K923" s="90">
        <f>COUNTIF(J924:J949,"Đạt")</f>
        <v>6</v>
      </c>
      <c r="L923" s="98">
        <f t="shared" si="166"/>
        <v>0</v>
      </c>
      <c r="M923" s="21"/>
      <c r="N923" s="21"/>
      <c r="O923" s="22"/>
      <c r="P923" s="99"/>
      <c r="Q923" s="89"/>
      <c r="R923" s="89"/>
      <c r="S923" s="90" t="s">
        <v>1187</v>
      </c>
      <c r="U923" s="84"/>
    </row>
    <row r="924" spans="1:21" s="95" customFormat="1" hidden="1" x14ac:dyDescent="0.25">
      <c r="A924" s="9" t="s">
        <v>148</v>
      </c>
      <c r="B924" s="13"/>
      <c r="C924" s="1" t="s">
        <v>940</v>
      </c>
      <c r="D924" s="82">
        <f>E924+F924</f>
        <v>6.481481481481481</v>
      </c>
      <c r="E924" s="105">
        <v>1.8518518518518516</v>
      </c>
      <c r="F924" s="105">
        <v>4.6296296296296298</v>
      </c>
      <c r="G924" s="12">
        <v>62</v>
      </c>
      <c r="H924" s="12">
        <v>94</v>
      </c>
      <c r="I924" s="12">
        <f t="shared" ref="I924:I949" si="175">SUM((IF(D924&gt;=16.24,1,0))+(IF(G924&lt;60,1,0))+(IF(H924&lt;90,1,0)))</f>
        <v>0</v>
      </c>
      <c r="J924" s="12" t="str">
        <f t="shared" ref="J924:J949" si="176">IF(I924&gt;=2,"Đạt","Không đạt")</f>
        <v>Không đạt</v>
      </c>
      <c r="K924" s="14"/>
      <c r="L924" s="96">
        <f t="shared" si="166"/>
        <v>6.48</v>
      </c>
      <c r="M924" s="111">
        <v>1.85</v>
      </c>
      <c r="N924" s="111">
        <v>4.63</v>
      </c>
      <c r="O924" s="12">
        <v>62</v>
      </c>
      <c r="P924" s="97">
        <v>99.130434782608702</v>
      </c>
      <c r="Q924" s="12">
        <f t="shared" si="167"/>
        <v>0</v>
      </c>
      <c r="R924" s="12" t="str">
        <f t="shared" si="168"/>
        <v>Không đạt</v>
      </c>
      <c r="S924" s="14"/>
      <c r="U924" s="84"/>
    </row>
    <row r="925" spans="1:21" s="95" customFormat="1" hidden="1" x14ac:dyDescent="0.25">
      <c r="A925" s="9" t="s">
        <v>149</v>
      </c>
      <c r="B925" s="13"/>
      <c r="C925" s="1" t="s">
        <v>941</v>
      </c>
      <c r="D925" s="82">
        <f t="shared" ref="D925:D949" si="177">E925+F925</f>
        <v>4.9586776859504136</v>
      </c>
      <c r="E925" s="105">
        <v>2.4793388429752068</v>
      </c>
      <c r="F925" s="105">
        <v>2.4793388429752068</v>
      </c>
      <c r="G925" s="12">
        <v>64</v>
      </c>
      <c r="H925" s="12">
        <v>97</v>
      </c>
      <c r="I925" s="12">
        <f t="shared" si="175"/>
        <v>0</v>
      </c>
      <c r="J925" s="12" t="str">
        <f t="shared" si="176"/>
        <v>Không đạt</v>
      </c>
      <c r="K925" s="14"/>
      <c r="L925" s="96">
        <f t="shared" si="166"/>
        <v>4.96</v>
      </c>
      <c r="M925" s="111">
        <v>2.48</v>
      </c>
      <c r="N925" s="111">
        <v>2.48</v>
      </c>
      <c r="O925" s="12">
        <v>64</v>
      </c>
      <c r="P925" s="97">
        <v>99.270072992700719</v>
      </c>
      <c r="Q925" s="12">
        <f t="shared" si="167"/>
        <v>0</v>
      </c>
      <c r="R925" s="12" t="str">
        <f t="shared" si="168"/>
        <v>Không đạt</v>
      </c>
      <c r="S925" s="14"/>
      <c r="U925" s="84"/>
    </row>
    <row r="926" spans="1:21" s="95" customFormat="1" hidden="1" x14ac:dyDescent="0.25">
      <c r="A926" s="9" t="s">
        <v>150</v>
      </c>
      <c r="B926" s="13"/>
      <c r="C926" s="1" t="s">
        <v>942</v>
      </c>
      <c r="D926" s="82">
        <f t="shared" si="177"/>
        <v>3.0303030303030303</v>
      </c>
      <c r="E926" s="105">
        <v>0.75757575757575757</v>
      </c>
      <c r="F926" s="105">
        <v>2.2727272727272729</v>
      </c>
      <c r="G926" s="12">
        <v>90</v>
      </c>
      <c r="H926" s="12">
        <v>100</v>
      </c>
      <c r="I926" s="12">
        <f t="shared" si="175"/>
        <v>0</v>
      </c>
      <c r="J926" s="12" t="str">
        <f t="shared" si="176"/>
        <v>Không đạt</v>
      </c>
      <c r="K926" s="14"/>
      <c r="L926" s="96">
        <f t="shared" si="166"/>
        <v>3.0300000000000002</v>
      </c>
      <c r="M926" s="111">
        <v>0.76</v>
      </c>
      <c r="N926" s="111">
        <v>2.27</v>
      </c>
      <c r="O926" s="12">
        <v>90</v>
      </c>
      <c r="P926" s="97">
        <v>98.507462686567152</v>
      </c>
      <c r="Q926" s="12">
        <f t="shared" si="167"/>
        <v>0</v>
      </c>
      <c r="R926" s="12" t="str">
        <f t="shared" si="168"/>
        <v>Không đạt</v>
      </c>
      <c r="S926" s="14"/>
      <c r="U926" s="84"/>
    </row>
    <row r="927" spans="1:21" s="95" customFormat="1" hidden="1" x14ac:dyDescent="0.25">
      <c r="A927" s="9" t="s">
        <v>151</v>
      </c>
      <c r="B927" s="13"/>
      <c r="C927" s="1" t="s">
        <v>943</v>
      </c>
      <c r="D927" s="82">
        <f t="shared" si="177"/>
        <v>2.6086956521739131</v>
      </c>
      <c r="E927" s="105">
        <v>0.86956521739130432</v>
      </c>
      <c r="F927" s="105">
        <v>1.7391304347826086</v>
      </c>
      <c r="G927" s="12">
        <v>95</v>
      </c>
      <c r="H927" s="12">
        <v>100</v>
      </c>
      <c r="I927" s="12">
        <f t="shared" si="175"/>
        <v>0</v>
      </c>
      <c r="J927" s="12" t="str">
        <f t="shared" si="176"/>
        <v>Không đạt</v>
      </c>
      <c r="K927" s="14"/>
      <c r="L927" s="96">
        <f t="shared" si="166"/>
        <v>2.61</v>
      </c>
      <c r="M927" s="111">
        <v>0.87</v>
      </c>
      <c r="N927" s="111">
        <v>1.74</v>
      </c>
      <c r="O927" s="12">
        <v>95</v>
      </c>
      <c r="P927" s="97">
        <v>100</v>
      </c>
      <c r="Q927" s="12">
        <f t="shared" si="167"/>
        <v>0</v>
      </c>
      <c r="R927" s="12" t="str">
        <f t="shared" si="168"/>
        <v>Không đạt</v>
      </c>
      <c r="S927" s="14"/>
      <c r="U927" s="84"/>
    </row>
    <row r="928" spans="1:21" s="95" customFormat="1" hidden="1" x14ac:dyDescent="0.25">
      <c r="A928" s="9" t="s">
        <v>152</v>
      </c>
      <c r="B928" s="13"/>
      <c r="C928" s="1" t="s">
        <v>944</v>
      </c>
      <c r="D928" s="82">
        <f t="shared" si="177"/>
        <v>5.7692307692307692</v>
      </c>
      <c r="E928" s="105">
        <v>1.9230769230769231</v>
      </c>
      <c r="F928" s="105">
        <v>3.8461538461538463</v>
      </c>
      <c r="G928" s="12">
        <v>94</v>
      </c>
      <c r="H928" s="12">
        <v>97</v>
      </c>
      <c r="I928" s="12">
        <f t="shared" si="175"/>
        <v>0</v>
      </c>
      <c r="J928" s="12" t="str">
        <f t="shared" si="176"/>
        <v>Không đạt</v>
      </c>
      <c r="K928" s="14"/>
      <c r="L928" s="96">
        <f t="shared" si="166"/>
        <v>5.77</v>
      </c>
      <c r="M928" s="111">
        <v>1.92</v>
      </c>
      <c r="N928" s="111">
        <v>3.85</v>
      </c>
      <c r="O928" s="12">
        <v>94</v>
      </c>
      <c r="P928" s="97">
        <v>100</v>
      </c>
      <c r="Q928" s="12">
        <f t="shared" si="167"/>
        <v>0</v>
      </c>
      <c r="R928" s="12" t="str">
        <f t="shared" si="168"/>
        <v>Không đạt</v>
      </c>
      <c r="S928" s="14"/>
      <c r="U928" s="84"/>
    </row>
    <row r="929" spans="1:21" s="95" customFormat="1" hidden="1" x14ac:dyDescent="0.25">
      <c r="A929" s="9" t="s">
        <v>153</v>
      </c>
      <c r="B929" s="13"/>
      <c r="C929" s="1" t="s">
        <v>945</v>
      </c>
      <c r="D929" s="82">
        <f t="shared" si="177"/>
        <v>8.1632653061224492</v>
      </c>
      <c r="E929" s="105">
        <v>4.0816326530612246</v>
      </c>
      <c r="F929" s="105">
        <v>4.0816326530612246</v>
      </c>
      <c r="G929" s="12">
        <v>95</v>
      </c>
      <c r="H929" s="12">
        <v>97.5</v>
      </c>
      <c r="I929" s="12">
        <f t="shared" si="175"/>
        <v>0</v>
      </c>
      <c r="J929" s="12" t="str">
        <f t="shared" si="176"/>
        <v>Không đạt</v>
      </c>
      <c r="K929" s="14"/>
      <c r="L929" s="96">
        <f t="shared" si="166"/>
        <v>8.16</v>
      </c>
      <c r="M929" s="111">
        <v>4.08</v>
      </c>
      <c r="N929" s="111">
        <v>4.08</v>
      </c>
      <c r="O929" s="12">
        <v>95</v>
      </c>
      <c r="P929" s="97">
        <v>97.029702970297024</v>
      </c>
      <c r="Q929" s="12">
        <f t="shared" si="167"/>
        <v>0</v>
      </c>
      <c r="R929" s="12" t="str">
        <f t="shared" si="168"/>
        <v>Không đạt</v>
      </c>
      <c r="S929" s="14"/>
      <c r="U929" s="84"/>
    </row>
    <row r="930" spans="1:21" s="95" customFormat="1" hidden="1" x14ac:dyDescent="0.25">
      <c r="A930" s="9" t="s">
        <v>154</v>
      </c>
      <c r="B930" s="13"/>
      <c r="C930" s="1" t="s">
        <v>946</v>
      </c>
      <c r="D930" s="82">
        <f t="shared" si="177"/>
        <v>5.825242718446602</v>
      </c>
      <c r="E930" s="105">
        <v>2.912621359223301</v>
      </c>
      <c r="F930" s="105">
        <v>2.912621359223301</v>
      </c>
      <c r="G930" s="12">
        <v>96</v>
      </c>
      <c r="H930" s="12">
        <v>97</v>
      </c>
      <c r="I930" s="12">
        <f t="shared" si="175"/>
        <v>0</v>
      </c>
      <c r="J930" s="12" t="str">
        <f t="shared" si="176"/>
        <v>Không đạt</v>
      </c>
      <c r="K930" s="14"/>
      <c r="L930" s="96">
        <f t="shared" si="166"/>
        <v>5.82</v>
      </c>
      <c r="M930" s="111">
        <v>2.91</v>
      </c>
      <c r="N930" s="111">
        <v>2.91</v>
      </c>
      <c r="O930" s="12">
        <v>96</v>
      </c>
      <c r="P930" s="97">
        <v>100.00000000000001</v>
      </c>
      <c r="Q930" s="12">
        <f t="shared" si="167"/>
        <v>0</v>
      </c>
      <c r="R930" s="12" t="str">
        <f t="shared" si="168"/>
        <v>Không đạt</v>
      </c>
      <c r="S930" s="14"/>
      <c r="U930" s="84"/>
    </row>
    <row r="931" spans="1:21" s="95" customFormat="1" hidden="1" x14ac:dyDescent="0.25">
      <c r="A931" s="9" t="s">
        <v>155</v>
      </c>
      <c r="B931" s="13"/>
      <c r="C931" s="1" t="s">
        <v>947</v>
      </c>
      <c r="D931" s="82">
        <f t="shared" si="177"/>
        <v>3.6809815950920246</v>
      </c>
      <c r="E931" s="105">
        <v>1.2269938650306749</v>
      </c>
      <c r="F931" s="105">
        <v>2.4539877300613497</v>
      </c>
      <c r="G931" s="12">
        <v>96</v>
      </c>
      <c r="H931" s="12">
        <v>98</v>
      </c>
      <c r="I931" s="12">
        <f t="shared" si="175"/>
        <v>0</v>
      </c>
      <c r="J931" s="12" t="str">
        <f t="shared" si="176"/>
        <v>Không đạt</v>
      </c>
      <c r="K931" s="14"/>
      <c r="L931" s="96">
        <f t="shared" ref="L931:L992" si="178">M931+N931</f>
        <v>3.68</v>
      </c>
      <c r="M931" s="111">
        <v>1.23</v>
      </c>
      <c r="N931" s="111">
        <v>2.4500000000000002</v>
      </c>
      <c r="O931" s="12">
        <v>96</v>
      </c>
      <c r="P931" s="97">
        <v>100</v>
      </c>
      <c r="Q931" s="12">
        <f t="shared" ref="Q931:Q992" si="179">SUM((IF(L931&gt;=16.24,1,0))+(IF(O931&lt;60,1,0))+(IF(P931&lt;90,1,0)))</f>
        <v>0</v>
      </c>
      <c r="R931" s="12" t="str">
        <f t="shared" ref="R931:R992" si="180">IF(Q931&gt;=2,"Đạt","Không đạt")</f>
        <v>Không đạt</v>
      </c>
      <c r="S931" s="14"/>
      <c r="U931" s="84"/>
    </row>
    <row r="932" spans="1:21" s="95" customFormat="1" hidden="1" x14ac:dyDescent="0.25">
      <c r="A932" s="9" t="s">
        <v>156</v>
      </c>
      <c r="B932" s="13"/>
      <c r="C932" s="1" t="s">
        <v>948</v>
      </c>
      <c r="D932" s="82">
        <f t="shared" si="177"/>
        <v>4.1666666666666661</v>
      </c>
      <c r="E932" s="105">
        <v>2.083333333333333</v>
      </c>
      <c r="F932" s="105">
        <v>2.083333333333333</v>
      </c>
      <c r="G932" s="12">
        <v>96.2</v>
      </c>
      <c r="H932" s="12">
        <v>98</v>
      </c>
      <c r="I932" s="12">
        <f t="shared" si="175"/>
        <v>0</v>
      </c>
      <c r="J932" s="12" t="str">
        <f t="shared" si="176"/>
        <v>Không đạt</v>
      </c>
      <c r="K932" s="14"/>
      <c r="L932" s="96">
        <f t="shared" si="178"/>
        <v>4.16</v>
      </c>
      <c r="M932" s="111">
        <v>2.08</v>
      </c>
      <c r="N932" s="111">
        <v>2.08</v>
      </c>
      <c r="O932" s="12">
        <v>96.2</v>
      </c>
      <c r="P932" s="97">
        <v>100</v>
      </c>
      <c r="Q932" s="12">
        <f t="shared" si="179"/>
        <v>0</v>
      </c>
      <c r="R932" s="12" t="str">
        <f t="shared" si="180"/>
        <v>Không đạt</v>
      </c>
      <c r="S932" s="14"/>
      <c r="U932" s="84"/>
    </row>
    <row r="933" spans="1:21" s="95" customFormat="1" hidden="1" x14ac:dyDescent="0.25">
      <c r="A933" s="9" t="s">
        <v>157</v>
      </c>
      <c r="B933" s="13"/>
      <c r="C933" s="1" t="s">
        <v>464</v>
      </c>
      <c r="D933" s="82">
        <f t="shared" si="177"/>
        <v>4.545454545454545</v>
      </c>
      <c r="E933" s="105">
        <v>1.948051948051948</v>
      </c>
      <c r="F933" s="105">
        <v>2.5974025974025974</v>
      </c>
      <c r="G933" s="12">
        <v>89</v>
      </c>
      <c r="H933" s="12">
        <v>97</v>
      </c>
      <c r="I933" s="12">
        <f t="shared" si="175"/>
        <v>0</v>
      </c>
      <c r="J933" s="12" t="str">
        <f t="shared" si="176"/>
        <v>Không đạt</v>
      </c>
      <c r="K933" s="14"/>
      <c r="L933" s="96">
        <f t="shared" si="178"/>
        <v>4.55</v>
      </c>
      <c r="M933" s="111">
        <v>1.95</v>
      </c>
      <c r="N933" s="111">
        <v>2.6</v>
      </c>
      <c r="O933" s="12">
        <v>89</v>
      </c>
      <c r="P933" s="97">
        <v>98.773006134969336</v>
      </c>
      <c r="Q933" s="12">
        <f t="shared" si="179"/>
        <v>0</v>
      </c>
      <c r="R933" s="12" t="str">
        <f t="shared" si="180"/>
        <v>Không đạt</v>
      </c>
      <c r="S933" s="14"/>
      <c r="U933" s="84"/>
    </row>
    <row r="934" spans="1:21" s="95" customFormat="1" hidden="1" x14ac:dyDescent="0.25">
      <c r="A934" s="9" t="s">
        <v>158</v>
      </c>
      <c r="B934" s="13"/>
      <c r="C934" s="1" t="s">
        <v>949</v>
      </c>
      <c r="D934" s="82">
        <f t="shared" si="177"/>
        <v>4.0540540540540544</v>
      </c>
      <c r="E934" s="105">
        <v>1.3513513513513513</v>
      </c>
      <c r="F934" s="105">
        <v>2.7027027027027026</v>
      </c>
      <c r="G934" s="12">
        <v>87</v>
      </c>
      <c r="H934" s="12">
        <v>98</v>
      </c>
      <c r="I934" s="12">
        <f t="shared" si="175"/>
        <v>0</v>
      </c>
      <c r="J934" s="12" t="str">
        <f t="shared" si="176"/>
        <v>Không đạt</v>
      </c>
      <c r="K934" s="14"/>
      <c r="L934" s="96">
        <f t="shared" si="178"/>
        <v>4.0500000000000007</v>
      </c>
      <c r="M934" s="111">
        <v>1.35</v>
      </c>
      <c r="N934" s="111">
        <v>2.7</v>
      </c>
      <c r="O934" s="12">
        <v>87</v>
      </c>
      <c r="P934" s="97">
        <v>100</v>
      </c>
      <c r="Q934" s="12">
        <f t="shared" si="179"/>
        <v>0</v>
      </c>
      <c r="R934" s="12" t="str">
        <f t="shared" si="180"/>
        <v>Không đạt</v>
      </c>
      <c r="S934" s="14"/>
      <c r="U934" s="84"/>
    </row>
    <row r="935" spans="1:21" s="95" customFormat="1" hidden="1" x14ac:dyDescent="0.25">
      <c r="A935" s="9" t="s">
        <v>159</v>
      </c>
      <c r="B935" s="13"/>
      <c r="C935" s="1" t="s">
        <v>950</v>
      </c>
      <c r="D935" s="82">
        <f t="shared" si="177"/>
        <v>5.3571428571428568</v>
      </c>
      <c r="E935" s="105">
        <v>1.7857142857142856</v>
      </c>
      <c r="F935" s="105">
        <v>3.5714285714285712</v>
      </c>
      <c r="G935" s="12">
        <v>89</v>
      </c>
      <c r="H935" s="12">
        <v>98</v>
      </c>
      <c r="I935" s="12">
        <f t="shared" si="175"/>
        <v>0</v>
      </c>
      <c r="J935" s="12" t="str">
        <f t="shared" si="176"/>
        <v>Không đạt</v>
      </c>
      <c r="K935" s="14"/>
      <c r="L935" s="96">
        <f t="shared" si="178"/>
        <v>5.3599999999999994</v>
      </c>
      <c r="M935" s="111">
        <v>1.79</v>
      </c>
      <c r="N935" s="111">
        <v>3.57</v>
      </c>
      <c r="O935" s="12">
        <v>89</v>
      </c>
      <c r="P935" s="97">
        <v>99.999999999999986</v>
      </c>
      <c r="Q935" s="12">
        <f t="shared" si="179"/>
        <v>0</v>
      </c>
      <c r="R935" s="12" t="str">
        <f t="shared" si="180"/>
        <v>Không đạt</v>
      </c>
      <c r="S935" s="14"/>
      <c r="U935" s="84"/>
    </row>
    <row r="936" spans="1:21" s="95" customFormat="1" hidden="1" x14ac:dyDescent="0.25">
      <c r="A936" s="9" t="s">
        <v>160</v>
      </c>
      <c r="B936" s="13"/>
      <c r="C936" s="1" t="s">
        <v>951</v>
      </c>
      <c r="D936" s="82">
        <f t="shared" si="177"/>
        <v>2.5862068965517242</v>
      </c>
      <c r="E936" s="105">
        <v>1.7241379310344827</v>
      </c>
      <c r="F936" s="105">
        <v>0.86206896551724133</v>
      </c>
      <c r="G936" s="12">
        <v>96</v>
      </c>
      <c r="H936" s="12">
        <v>96.5</v>
      </c>
      <c r="I936" s="12">
        <f t="shared" si="175"/>
        <v>0</v>
      </c>
      <c r="J936" s="12" t="str">
        <f t="shared" si="176"/>
        <v>Không đạt</v>
      </c>
      <c r="K936" s="14"/>
      <c r="L936" s="96">
        <f t="shared" si="178"/>
        <v>2.58</v>
      </c>
      <c r="M936" s="111">
        <v>1.72</v>
      </c>
      <c r="N936" s="111">
        <v>0.86</v>
      </c>
      <c r="O936" s="12">
        <v>96</v>
      </c>
      <c r="P936" s="97">
        <v>100</v>
      </c>
      <c r="Q936" s="12">
        <f t="shared" si="179"/>
        <v>0</v>
      </c>
      <c r="R936" s="12" t="str">
        <f t="shared" si="180"/>
        <v>Không đạt</v>
      </c>
      <c r="S936" s="14"/>
      <c r="U936" s="84"/>
    </row>
    <row r="937" spans="1:21" s="95" customFormat="1" hidden="1" x14ac:dyDescent="0.25">
      <c r="A937" s="9" t="s">
        <v>161</v>
      </c>
      <c r="B937" s="13"/>
      <c r="C937" s="1" t="s">
        <v>952</v>
      </c>
      <c r="D937" s="82">
        <f t="shared" si="177"/>
        <v>8.7301587301587293</v>
      </c>
      <c r="E937" s="105">
        <v>3.9682539682539679</v>
      </c>
      <c r="F937" s="105">
        <v>4.7619047619047619</v>
      </c>
      <c r="G937" s="12">
        <v>86</v>
      </c>
      <c r="H937" s="12">
        <v>95</v>
      </c>
      <c r="I937" s="12">
        <f t="shared" si="175"/>
        <v>0</v>
      </c>
      <c r="J937" s="12" t="str">
        <f t="shared" si="176"/>
        <v>Không đạt</v>
      </c>
      <c r="K937" s="14"/>
      <c r="L937" s="96">
        <f t="shared" si="178"/>
        <v>8.73</v>
      </c>
      <c r="M937" s="111">
        <v>3.97</v>
      </c>
      <c r="N937" s="111">
        <v>4.76</v>
      </c>
      <c r="O937" s="12">
        <v>86</v>
      </c>
      <c r="P937" s="97">
        <v>100</v>
      </c>
      <c r="Q937" s="12">
        <f t="shared" si="179"/>
        <v>0</v>
      </c>
      <c r="R937" s="12" t="str">
        <f t="shared" si="180"/>
        <v>Không đạt</v>
      </c>
      <c r="S937" s="14"/>
      <c r="U937" s="84"/>
    </row>
    <row r="938" spans="1:21" s="86" customFormat="1" ht="30" x14ac:dyDescent="0.25">
      <c r="A938" s="87" t="s">
        <v>162</v>
      </c>
      <c r="B938" s="85"/>
      <c r="C938" s="88" t="s">
        <v>953</v>
      </c>
      <c r="D938" s="81">
        <f t="shared" si="177"/>
        <v>14.615384615384617</v>
      </c>
      <c r="E938" s="118">
        <v>7.6923076923076925</v>
      </c>
      <c r="F938" s="118">
        <v>6.9230769230769234</v>
      </c>
      <c r="G938" s="45">
        <v>58</v>
      </c>
      <c r="H938" s="45">
        <v>85</v>
      </c>
      <c r="I938" s="45">
        <f t="shared" si="175"/>
        <v>2</v>
      </c>
      <c r="J938" s="45" t="str">
        <f t="shared" si="176"/>
        <v>Đạt</v>
      </c>
      <c r="K938" s="42"/>
      <c r="L938" s="61">
        <f t="shared" si="178"/>
        <v>14.61</v>
      </c>
      <c r="M938" s="120">
        <v>7.69</v>
      </c>
      <c r="N938" s="120">
        <v>6.92</v>
      </c>
      <c r="O938" s="45">
        <v>58</v>
      </c>
      <c r="P938" s="119">
        <v>97.777777777777771</v>
      </c>
      <c r="Q938" s="45">
        <f t="shared" si="179"/>
        <v>1</v>
      </c>
      <c r="R938" s="45" t="str">
        <f t="shared" si="180"/>
        <v>Không đạt</v>
      </c>
      <c r="S938" s="43" t="s">
        <v>1185</v>
      </c>
      <c r="U938" s="117"/>
    </row>
    <row r="939" spans="1:21" s="86" customFormat="1" ht="18.75" hidden="1" x14ac:dyDescent="0.25">
      <c r="A939" s="87" t="s">
        <v>163</v>
      </c>
      <c r="B939" s="85"/>
      <c r="C939" s="88" t="s">
        <v>954</v>
      </c>
      <c r="D939" s="81">
        <f t="shared" si="177"/>
        <v>17.475728155339805</v>
      </c>
      <c r="E939" s="118">
        <v>7.7669902912621351</v>
      </c>
      <c r="F939" s="118">
        <v>9.7087378640776691</v>
      </c>
      <c r="G939" s="45">
        <v>59</v>
      </c>
      <c r="H939" s="45">
        <v>86</v>
      </c>
      <c r="I939" s="45">
        <f t="shared" si="175"/>
        <v>3</v>
      </c>
      <c r="J939" s="45" t="str">
        <f t="shared" si="176"/>
        <v>Đạt</v>
      </c>
      <c r="K939" s="42"/>
      <c r="L939" s="61">
        <f t="shared" si="178"/>
        <v>17.48</v>
      </c>
      <c r="M939" s="120">
        <v>7.77</v>
      </c>
      <c r="N939" s="120">
        <v>9.7100000000000009</v>
      </c>
      <c r="O939" s="45">
        <v>59</v>
      </c>
      <c r="P939" s="119">
        <v>100</v>
      </c>
      <c r="Q939" s="45">
        <f t="shared" si="179"/>
        <v>2</v>
      </c>
      <c r="R939" s="45" t="str">
        <f t="shared" si="180"/>
        <v>Đạt</v>
      </c>
      <c r="S939" s="42"/>
      <c r="U939" s="117"/>
    </row>
    <row r="940" spans="1:21" s="86" customFormat="1" ht="18.75" hidden="1" x14ac:dyDescent="0.25">
      <c r="A940" s="87" t="s">
        <v>164</v>
      </c>
      <c r="B940" s="85"/>
      <c r="C940" s="88" t="s">
        <v>955</v>
      </c>
      <c r="D940" s="81">
        <f t="shared" si="177"/>
        <v>1.4285714285714286</v>
      </c>
      <c r="E940" s="118">
        <v>0.7142857142857143</v>
      </c>
      <c r="F940" s="118">
        <v>0.7142857142857143</v>
      </c>
      <c r="G940" s="45">
        <v>89</v>
      </c>
      <c r="H940" s="45">
        <v>96</v>
      </c>
      <c r="I940" s="45">
        <f t="shared" si="175"/>
        <v>0</v>
      </c>
      <c r="J940" s="45" t="str">
        <f t="shared" si="176"/>
        <v>Không đạt</v>
      </c>
      <c r="K940" s="42"/>
      <c r="L940" s="61">
        <f t="shared" si="178"/>
        <v>1.42</v>
      </c>
      <c r="M940" s="120">
        <v>0.71</v>
      </c>
      <c r="N940" s="120">
        <v>0.71</v>
      </c>
      <c r="O940" s="45">
        <v>89</v>
      </c>
      <c r="P940" s="119">
        <v>97.080291970802918</v>
      </c>
      <c r="Q940" s="45">
        <f t="shared" si="179"/>
        <v>0</v>
      </c>
      <c r="R940" s="45" t="str">
        <f t="shared" si="180"/>
        <v>Không đạt</v>
      </c>
      <c r="S940" s="42"/>
      <c r="U940" s="117"/>
    </row>
    <row r="941" spans="1:21" s="86" customFormat="1" ht="18.75" hidden="1" x14ac:dyDescent="0.25">
      <c r="A941" s="87" t="s">
        <v>165</v>
      </c>
      <c r="B941" s="85"/>
      <c r="C941" s="88" t="s">
        <v>956</v>
      </c>
      <c r="D941" s="81">
        <f t="shared" si="177"/>
        <v>3.1578947368421053</v>
      </c>
      <c r="E941" s="118">
        <v>1.0526315789473684</v>
      </c>
      <c r="F941" s="118">
        <v>2.1052631578947367</v>
      </c>
      <c r="G941" s="45">
        <v>86</v>
      </c>
      <c r="H941" s="45">
        <v>97</v>
      </c>
      <c r="I941" s="45">
        <f t="shared" si="175"/>
        <v>0</v>
      </c>
      <c r="J941" s="45" t="str">
        <f t="shared" si="176"/>
        <v>Không đạt</v>
      </c>
      <c r="K941" s="42"/>
      <c r="L941" s="61">
        <f t="shared" si="178"/>
        <v>3.16</v>
      </c>
      <c r="M941" s="120">
        <v>1.05</v>
      </c>
      <c r="N941" s="120">
        <v>2.11</v>
      </c>
      <c r="O941" s="45">
        <v>86</v>
      </c>
      <c r="P941" s="119">
        <v>95.91836734693878</v>
      </c>
      <c r="Q941" s="45">
        <f t="shared" si="179"/>
        <v>0</v>
      </c>
      <c r="R941" s="45" t="str">
        <f t="shared" si="180"/>
        <v>Không đạt</v>
      </c>
      <c r="S941" s="42"/>
      <c r="U941" s="117"/>
    </row>
    <row r="942" spans="1:21" s="86" customFormat="1" ht="18.75" hidden="1" x14ac:dyDescent="0.25">
      <c r="A942" s="87" t="s">
        <v>166</v>
      </c>
      <c r="B942" s="85"/>
      <c r="C942" s="88" t="s">
        <v>957</v>
      </c>
      <c r="D942" s="81">
        <f t="shared" si="177"/>
        <v>1.7857142857142856</v>
      </c>
      <c r="E942" s="118">
        <v>0</v>
      </c>
      <c r="F942" s="118">
        <v>1.7857142857142856</v>
      </c>
      <c r="G942" s="45">
        <v>88</v>
      </c>
      <c r="H942" s="45">
        <v>98</v>
      </c>
      <c r="I942" s="45">
        <f t="shared" si="175"/>
        <v>0</v>
      </c>
      <c r="J942" s="45" t="str">
        <f t="shared" si="176"/>
        <v>Không đạt</v>
      </c>
      <c r="K942" s="42"/>
      <c r="L942" s="61">
        <f t="shared" si="178"/>
        <v>1.79</v>
      </c>
      <c r="M942" s="120">
        <v>0</v>
      </c>
      <c r="N942" s="120">
        <v>1.79</v>
      </c>
      <c r="O942" s="45">
        <v>88</v>
      </c>
      <c r="P942" s="119">
        <v>95.370370370370367</v>
      </c>
      <c r="Q942" s="45">
        <f t="shared" si="179"/>
        <v>0</v>
      </c>
      <c r="R942" s="45" t="str">
        <f t="shared" si="180"/>
        <v>Không đạt</v>
      </c>
      <c r="S942" s="42"/>
      <c r="U942" s="117"/>
    </row>
    <row r="943" spans="1:21" s="86" customFormat="1" ht="18.75" hidden="1" x14ac:dyDescent="0.25">
      <c r="A943" s="87" t="s">
        <v>167</v>
      </c>
      <c r="B943" s="85"/>
      <c r="C943" s="88" t="s">
        <v>958</v>
      </c>
      <c r="D943" s="81">
        <f t="shared" si="177"/>
        <v>3.7383177570093453</v>
      </c>
      <c r="E943" s="118">
        <v>1.8691588785046727</v>
      </c>
      <c r="F943" s="118">
        <v>1.8691588785046727</v>
      </c>
      <c r="G943" s="45">
        <v>84</v>
      </c>
      <c r="H943" s="45">
        <v>97</v>
      </c>
      <c r="I943" s="45">
        <f t="shared" si="175"/>
        <v>0</v>
      </c>
      <c r="J943" s="45" t="str">
        <f t="shared" si="176"/>
        <v>Không đạt</v>
      </c>
      <c r="K943" s="42"/>
      <c r="L943" s="61">
        <f t="shared" si="178"/>
        <v>3.74</v>
      </c>
      <c r="M943" s="120">
        <v>1.87</v>
      </c>
      <c r="N943" s="120">
        <v>1.87</v>
      </c>
      <c r="O943" s="45">
        <v>84</v>
      </c>
      <c r="P943" s="119">
        <v>100</v>
      </c>
      <c r="Q943" s="45">
        <f t="shared" si="179"/>
        <v>0</v>
      </c>
      <c r="R943" s="45" t="str">
        <f t="shared" si="180"/>
        <v>Không đạt</v>
      </c>
      <c r="S943" s="42"/>
      <c r="U943" s="117"/>
    </row>
    <row r="944" spans="1:21" s="86" customFormat="1" ht="18.75" hidden="1" x14ac:dyDescent="0.25">
      <c r="A944" s="87" t="s">
        <v>168</v>
      </c>
      <c r="B944" s="85"/>
      <c r="C944" s="88" t="s">
        <v>959</v>
      </c>
      <c r="D944" s="81">
        <f t="shared" si="177"/>
        <v>18.18181818181818</v>
      </c>
      <c r="E944" s="118">
        <v>7.7922077922077921</v>
      </c>
      <c r="F944" s="118">
        <v>10.38961038961039</v>
      </c>
      <c r="G944" s="45">
        <v>59</v>
      </c>
      <c r="H944" s="45">
        <v>84.3</v>
      </c>
      <c r="I944" s="45">
        <f t="shared" si="175"/>
        <v>3</v>
      </c>
      <c r="J944" s="45" t="str">
        <f t="shared" si="176"/>
        <v>Đạt</v>
      </c>
      <c r="K944" s="42"/>
      <c r="L944" s="61">
        <f t="shared" si="178"/>
        <v>18.18</v>
      </c>
      <c r="M944" s="120">
        <v>7.79</v>
      </c>
      <c r="N944" s="120">
        <v>10.39</v>
      </c>
      <c r="O944" s="45">
        <v>59</v>
      </c>
      <c r="P944" s="119">
        <v>96.511627906976742</v>
      </c>
      <c r="Q944" s="45">
        <f t="shared" si="179"/>
        <v>2</v>
      </c>
      <c r="R944" s="45" t="str">
        <f t="shared" si="180"/>
        <v>Đạt</v>
      </c>
      <c r="S944" s="42"/>
      <c r="U944" s="117"/>
    </row>
    <row r="945" spans="1:21" s="86" customFormat="1" ht="18.75" hidden="1" x14ac:dyDescent="0.25">
      <c r="A945" s="87" t="s">
        <v>169</v>
      </c>
      <c r="B945" s="85"/>
      <c r="C945" s="88" t="s">
        <v>960</v>
      </c>
      <c r="D945" s="81">
        <f t="shared" si="177"/>
        <v>34.482758620689658</v>
      </c>
      <c r="E945" s="118">
        <v>15.517241379310345</v>
      </c>
      <c r="F945" s="118">
        <v>18.965517241379313</v>
      </c>
      <c r="G945" s="45">
        <v>57</v>
      </c>
      <c r="H945" s="45">
        <v>82.1</v>
      </c>
      <c r="I945" s="45">
        <f t="shared" si="175"/>
        <v>3</v>
      </c>
      <c r="J945" s="45" t="str">
        <f t="shared" si="176"/>
        <v>Đạt</v>
      </c>
      <c r="K945" s="42"/>
      <c r="L945" s="61">
        <f t="shared" si="178"/>
        <v>34.489999999999995</v>
      </c>
      <c r="M945" s="120">
        <v>15.52</v>
      </c>
      <c r="N945" s="120">
        <v>18.97</v>
      </c>
      <c r="O945" s="45">
        <v>57</v>
      </c>
      <c r="P945" s="119">
        <v>94.827586206896555</v>
      </c>
      <c r="Q945" s="45">
        <f t="shared" si="179"/>
        <v>2</v>
      </c>
      <c r="R945" s="45" t="str">
        <f t="shared" si="180"/>
        <v>Đạt</v>
      </c>
      <c r="S945" s="42"/>
      <c r="U945" s="117"/>
    </row>
    <row r="946" spans="1:21" s="86" customFormat="1" ht="30" x14ac:dyDescent="0.25">
      <c r="A946" s="87" t="s">
        <v>170</v>
      </c>
      <c r="B946" s="85"/>
      <c r="C946" s="88" t="s">
        <v>961</v>
      </c>
      <c r="D946" s="81">
        <f t="shared" si="177"/>
        <v>14.285714285714286</v>
      </c>
      <c r="E946" s="118">
        <v>7.5630252100840343</v>
      </c>
      <c r="F946" s="118">
        <v>6.7226890756302522</v>
      </c>
      <c r="G946" s="45">
        <v>58.9</v>
      </c>
      <c r="H946" s="45">
        <v>84.5</v>
      </c>
      <c r="I946" s="45">
        <f t="shared" si="175"/>
        <v>2</v>
      </c>
      <c r="J946" s="45" t="str">
        <f t="shared" si="176"/>
        <v>Đạt</v>
      </c>
      <c r="K946" s="42"/>
      <c r="L946" s="61">
        <f t="shared" si="178"/>
        <v>14.28</v>
      </c>
      <c r="M946" s="120">
        <v>7.56</v>
      </c>
      <c r="N946" s="120">
        <v>6.72</v>
      </c>
      <c r="O946" s="45">
        <v>58.9</v>
      </c>
      <c r="P946" s="119">
        <v>97.478991596638664</v>
      </c>
      <c r="Q946" s="45">
        <f t="shared" si="179"/>
        <v>1</v>
      </c>
      <c r="R946" s="45" t="str">
        <f t="shared" si="180"/>
        <v>Không đạt</v>
      </c>
      <c r="S946" s="43" t="s">
        <v>1185</v>
      </c>
      <c r="U946" s="117"/>
    </row>
    <row r="947" spans="1:21" s="86" customFormat="1" ht="18.75" hidden="1" x14ac:dyDescent="0.25">
      <c r="A947" s="87" t="s">
        <v>171</v>
      </c>
      <c r="B947" s="85"/>
      <c r="C947" s="88" t="s">
        <v>323</v>
      </c>
      <c r="D947" s="81">
        <f t="shared" si="177"/>
        <v>4.1666666666666661</v>
      </c>
      <c r="E947" s="118">
        <v>1.6025641025641024</v>
      </c>
      <c r="F947" s="118">
        <v>2.5641025641025639</v>
      </c>
      <c r="G947" s="45">
        <v>90</v>
      </c>
      <c r="H947" s="45">
        <v>93</v>
      </c>
      <c r="I947" s="45">
        <f t="shared" si="175"/>
        <v>0</v>
      </c>
      <c r="J947" s="45" t="str">
        <f t="shared" si="176"/>
        <v>Không đạt</v>
      </c>
      <c r="K947" s="42"/>
      <c r="L947" s="61">
        <f t="shared" si="178"/>
        <v>4.16</v>
      </c>
      <c r="M947" s="120">
        <v>1.6</v>
      </c>
      <c r="N947" s="120">
        <v>2.56</v>
      </c>
      <c r="O947" s="45">
        <v>90</v>
      </c>
      <c r="P947" s="119">
        <v>99.685534591194966</v>
      </c>
      <c r="Q947" s="45">
        <f t="shared" si="179"/>
        <v>0</v>
      </c>
      <c r="R947" s="45" t="str">
        <f t="shared" si="180"/>
        <v>Không đạt</v>
      </c>
      <c r="S947" s="42"/>
      <c r="U947" s="117"/>
    </row>
    <row r="948" spans="1:21" s="86" customFormat="1" ht="30" x14ac:dyDescent="0.25">
      <c r="A948" s="87" t="s">
        <v>172</v>
      </c>
      <c r="B948" s="85"/>
      <c r="C948" s="88" t="s">
        <v>325</v>
      </c>
      <c r="D948" s="81">
        <f t="shared" si="177"/>
        <v>13.636363636363637</v>
      </c>
      <c r="E948" s="118">
        <v>5.4545454545454541</v>
      </c>
      <c r="F948" s="118">
        <v>8.1818181818181817</v>
      </c>
      <c r="G948" s="45">
        <v>59.5</v>
      </c>
      <c r="H948" s="45">
        <v>85.5</v>
      </c>
      <c r="I948" s="45">
        <f t="shared" si="175"/>
        <v>2</v>
      </c>
      <c r="J948" s="45" t="str">
        <f t="shared" si="176"/>
        <v>Đạt</v>
      </c>
      <c r="K948" s="42"/>
      <c r="L948" s="61">
        <f t="shared" si="178"/>
        <v>13.629999999999999</v>
      </c>
      <c r="M948" s="120">
        <v>5.45</v>
      </c>
      <c r="N948" s="120">
        <v>8.18</v>
      </c>
      <c r="O948" s="45">
        <v>59.5</v>
      </c>
      <c r="P948" s="119">
        <v>97.297297297297291</v>
      </c>
      <c r="Q948" s="45">
        <f t="shared" si="179"/>
        <v>1</v>
      </c>
      <c r="R948" s="45" t="str">
        <f t="shared" si="180"/>
        <v>Không đạt</v>
      </c>
      <c r="S948" s="43" t="s">
        <v>1185</v>
      </c>
      <c r="U948" s="117"/>
    </row>
    <row r="949" spans="1:21" s="95" customFormat="1" hidden="1" x14ac:dyDescent="0.25">
      <c r="A949" s="9" t="s">
        <v>173</v>
      </c>
      <c r="B949" s="13"/>
      <c r="C949" s="1" t="s">
        <v>326</v>
      </c>
      <c r="D949" s="82">
        <f t="shared" si="177"/>
        <v>4.329004329004329</v>
      </c>
      <c r="E949" s="105">
        <v>1.2987012987012987</v>
      </c>
      <c r="F949" s="105">
        <v>3.0303030303030303</v>
      </c>
      <c r="G949" s="12">
        <v>87</v>
      </c>
      <c r="H949" s="12">
        <v>97</v>
      </c>
      <c r="I949" s="12">
        <f t="shared" si="175"/>
        <v>0</v>
      </c>
      <c r="J949" s="12" t="str">
        <f t="shared" si="176"/>
        <v>Không đạt</v>
      </c>
      <c r="K949" s="14"/>
      <c r="L949" s="96">
        <f t="shared" si="178"/>
        <v>4.33</v>
      </c>
      <c r="M949" s="111">
        <v>1.3</v>
      </c>
      <c r="N949" s="111">
        <v>3.03</v>
      </c>
      <c r="O949" s="12">
        <v>87</v>
      </c>
      <c r="P949" s="97">
        <v>97.872340425531917</v>
      </c>
      <c r="Q949" s="12">
        <f t="shared" si="179"/>
        <v>0</v>
      </c>
      <c r="R949" s="12" t="str">
        <f t="shared" si="180"/>
        <v>Không đạt</v>
      </c>
      <c r="S949" s="14"/>
      <c r="U949" s="84"/>
    </row>
    <row r="950" spans="1:21" s="100" customFormat="1" x14ac:dyDescent="0.25">
      <c r="A950" s="19" t="s">
        <v>575</v>
      </c>
      <c r="B950" s="20" t="s">
        <v>103</v>
      </c>
      <c r="C950" s="20"/>
      <c r="D950" s="22"/>
      <c r="E950" s="104"/>
      <c r="F950" s="104"/>
      <c r="G950" s="22"/>
      <c r="H950" s="22"/>
      <c r="I950" s="89"/>
      <c r="J950" s="89"/>
      <c r="K950" s="90">
        <f>COUNTIF(J951:J992,"Đạt")</f>
        <v>8</v>
      </c>
      <c r="L950" s="98">
        <f t="shared" si="178"/>
        <v>0</v>
      </c>
      <c r="M950" s="21"/>
      <c r="N950" s="21"/>
      <c r="O950" s="22"/>
      <c r="P950" s="99"/>
      <c r="Q950" s="89"/>
      <c r="R950" s="89"/>
      <c r="S950" s="90" t="s">
        <v>1186</v>
      </c>
      <c r="U950" s="84"/>
    </row>
    <row r="951" spans="1:21" s="84" customFormat="1" hidden="1" x14ac:dyDescent="0.25">
      <c r="A951" s="9" t="s">
        <v>148</v>
      </c>
      <c r="B951" s="1"/>
      <c r="C951" s="1" t="s">
        <v>576</v>
      </c>
      <c r="D951" s="15">
        <f t="shared" ref="D951:D991" si="181">E951+F951</f>
        <v>5.0505050505050511</v>
      </c>
      <c r="E951" s="11">
        <v>0.50505050505050508</v>
      </c>
      <c r="F951" s="11">
        <v>4.5454545454545459</v>
      </c>
      <c r="G951" s="15">
        <v>90</v>
      </c>
      <c r="H951" s="15">
        <v>92.941176470588232</v>
      </c>
      <c r="I951" s="12">
        <f t="shared" ref="I951:I992" si="182">SUM((IF(D951&gt;=16.24,1,0))+(IF(G951&lt;60,1,0))+(IF(H951&lt;90,1,0)))</f>
        <v>0</v>
      </c>
      <c r="J951" s="12" t="str">
        <f>IF(I951&gt;=2,"Đạt","Không đạt")</f>
        <v>Không đạt</v>
      </c>
      <c r="K951" s="10"/>
      <c r="L951" s="96">
        <f t="shared" si="178"/>
        <v>5.0599999999999996</v>
      </c>
      <c r="M951" s="10">
        <v>0.51</v>
      </c>
      <c r="N951" s="10">
        <v>4.55</v>
      </c>
      <c r="O951" s="15">
        <v>90</v>
      </c>
      <c r="P951" s="97">
        <v>92.941176470588232</v>
      </c>
      <c r="Q951" s="12">
        <f t="shared" si="179"/>
        <v>0</v>
      </c>
      <c r="R951" s="12" t="str">
        <f t="shared" si="180"/>
        <v>Không đạt</v>
      </c>
      <c r="S951" s="10"/>
      <c r="T951" s="95"/>
    </row>
    <row r="952" spans="1:21" s="84" customFormat="1" hidden="1" x14ac:dyDescent="0.25">
      <c r="A952" s="9" t="s">
        <v>149</v>
      </c>
      <c r="B952" s="1"/>
      <c r="C952" s="1" t="s">
        <v>257</v>
      </c>
      <c r="D952" s="15">
        <f t="shared" si="181"/>
        <v>0</v>
      </c>
      <c r="E952" s="11">
        <v>0</v>
      </c>
      <c r="F952" s="11">
        <v>0</v>
      </c>
      <c r="G952" s="15">
        <v>100</v>
      </c>
      <c r="H952" s="15">
        <v>96.111111111111114</v>
      </c>
      <c r="I952" s="12">
        <f t="shared" si="182"/>
        <v>0</v>
      </c>
      <c r="J952" s="12" t="str">
        <f t="shared" ref="J952:J992" si="183">IF(I952&gt;=2,"Đạt","Không đạt")</f>
        <v>Không đạt</v>
      </c>
      <c r="K952" s="10"/>
      <c r="L952" s="96">
        <f t="shared" si="178"/>
        <v>0</v>
      </c>
      <c r="M952" s="10">
        <v>0</v>
      </c>
      <c r="N952" s="10">
        <v>0</v>
      </c>
      <c r="O952" s="15">
        <v>100</v>
      </c>
      <c r="P952" s="97">
        <v>96.111111111111114</v>
      </c>
      <c r="Q952" s="12">
        <f t="shared" si="179"/>
        <v>0</v>
      </c>
      <c r="R952" s="12" t="str">
        <f t="shared" si="180"/>
        <v>Không đạt</v>
      </c>
      <c r="S952" s="10"/>
      <c r="T952" s="95"/>
    </row>
    <row r="953" spans="1:21" s="84" customFormat="1" hidden="1" x14ac:dyDescent="0.25">
      <c r="A953" s="9" t="s">
        <v>150</v>
      </c>
      <c r="B953" s="1"/>
      <c r="C953" s="1" t="s">
        <v>577</v>
      </c>
      <c r="D953" s="15">
        <f t="shared" si="181"/>
        <v>1.8181818181818181</v>
      </c>
      <c r="E953" s="11">
        <v>0</v>
      </c>
      <c r="F953" s="11">
        <v>1.8181818181818181</v>
      </c>
      <c r="G953" s="15">
        <v>100</v>
      </c>
      <c r="H953" s="15">
        <v>92.307692307692307</v>
      </c>
      <c r="I953" s="12">
        <f t="shared" si="182"/>
        <v>0</v>
      </c>
      <c r="J953" s="12" t="str">
        <f t="shared" si="183"/>
        <v>Không đạt</v>
      </c>
      <c r="K953" s="10"/>
      <c r="L953" s="96">
        <f t="shared" si="178"/>
        <v>1.82</v>
      </c>
      <c r="M953" s="10">
        <v>0</v>
      </c>
      <c r="N953" s="10">
        <v>1.82</v>
      </c>
      <c r="O953" s="15">
        <v>100</v>
      </c>
      <c r="P953" s="97">
        <v>92.307692307692307</v>
      </c>
      <c r="Q953" s="12">
        <f t="shared" si="179"/>
        <v>0</v>
      </c>
      <c r="R953" s="12" t="str">
        <f t="shared" si="180"/>
        <v>Không đạt</v>
      </c>
      <c r="S953" s="10"/>
      <c r="T953" s="95"/>
    </row>
    <row r="954" spans="1:21" s="84" customFormat="1" hidden="1" x14ac:dyDescent="0.25">
      <c r="A954" s="9" t="s">
        <v>151</v>
      </c>
      <c r="B954" s="1"/>
      <c r="C954" s="1" t="s">
        <v>578</v>
      </c>
      <c r="D954" s="15">
        <f t="shared" si="181"/>
        <v>6.6225165562913908</v>
      </c>
      <c r="E954" s="11">
        <v>0.66225165562913912</v>
      </c>
      <c r="F954" s="11">
        <v>5.9602649006622519</v>
      </c>
      <c r="G954" s="15">
        <v>95</v>
      </c>
      <c r="H954" s="15">
        <v>90.476190476190482</v>
      </c>
      <c r="I954" s="12">
        <f t="shared" si="182"/>
        <v>0</v>
      </c>
      <c r="J954" s="12" t="str">
        <f t="shared" si="183"/>
        <v>Không đạt</v>
      </c>
      <c r="K954" s="10"/>
      <c r="L954" s="96">
        <f t="shared" si="178"/>
        <v>6.62</v>
      </c>
      <c r="M954" s="10">
        <v>0.66</v>
      </c>
      <c r="N954" s="10">
        <v>5.96</v>
      </c>
      <c r="O954" s="15">
        <v>95</v>
      </c>
      <c r="P954" s="97">
        <v>90.476190476190482</v>
      </c>
      <c r="Q954" s="12">
        <f t="shared" si="179"/>
        <v>0</v>
      </c>
      <c r="R954" s="12" t="str">
        <f t="shared" si="180"/>
        <v>Không đạt</v>
      </c>
      <c r="S954" s="10"/>
      <c r="T954" s="95"/>
    </row>
    <row r="955" spans="1:21" s="84" customFormat="1" hidden="1" x14ac:dyDescent="0.25">
      <c r="A955" s="9" t="s">
        <v>152</v>
      </c>
      <c r="B955" s="1"/>
      <c r="C955" s="1" t="s">
        <v>579</v>
      </c>
      <c r="D955" s="15">
        <f t="shared" si="181"/>
        <v>1.1173184357541899</v>
      </c>
      <c r="E955" s="11">
        <v>0</v>
      </c>
      <c r="F955" s="11">
        <v>1.1173184357541899</v>
      </c>
      <c r="G955" s="15">
        <v>100</v>
      </c>
      <c r="H955" s="15">
        <v>95.333333333333343</v>
      </c>
      <c r="I955" s="12">
        <f t="shared" si="182"/>
        <v>0</v>
      </c>
      <c r="J955" s="12" t="str">
        <f t="shared" si="183"/>
        <v>Không đạt</v>
      </c>
      <c r="K955" s="10"/>
      <c r="L955" s="96">
        <f t="shared" si="178"/>
        <v>1.1200000000000001</v>
      </c>
      <c r="M955" s="10">
        <v>0</v>
      </c>
      <c r="N955" s="10">
        <v>1.1200000000000001</v>
      </c>
      <c r="O955" s="15">
        <v>100</v>
      </c>
      <c r="P955" s="97">
        <v>95.333333333333343</v>
      </c>
      <c r="Q955" s="12">
        <f t="shared" si="179"/>
        <v>0</v>
      </c>
      <c r="R955" s="12" t="str">
        <f t="shared" si="180"/>
        <v>Không đạt</v>
      </c>
      <c r="S955" s="10"/>
      <c r="T955" s="95"/>
    </row>
    <row r="956" spans="1:21" s="84" customFormat="1" hidden="1" x14ac:dyDescent="0.25">
      <c r="A956" s="9" t="s">
        <v>153</v>
      </c>
      <c r="B956" s="1"/>
      <c r="C956" s="1" t="s">
        <v>580</v>
      </c>
      <c r="D956" s="15">
        <f t="shared" si="181"/>
        <v>4.1984732824427482</v>
      </c>
      <c r="E956" s="11">
        <v>0.38167938931297707</v>
      </c>
      <c r="F956" s="11">
        <v>3.8167938931297711</v>
      </c>
      <c r="G956" s="15">
        <v>100</v>
      </c>
      <c r="H956" s="15">
        <v>97.727272727272734</v>
      </c>
      <c r="I956" s="12">
        <f t="shared" si="182"/>
        <v>0</v>
      </c>
      <c r="J956" s="12" t="str">
        <f t="shared" si="183"/>
        <v>Không đạt</v>
      </c>
      <c r="K956" s="10"/>
      <c r="L956" s="96">
        <f t="shared" si="178"/>
        <v>4.2</v>
      </c>
      <c r="M956" s="10">
        <v>0.38</v>
      </c>
      <c r="N956" s="10">
        <v>3.82</v>
      </c>
      <c r="O956" s="15">
        <v>100</v>
      </c>
      <c r="P956" s="97">
        <v>97.727272727272734</v>
      </c>
      <c r="Q956" s="12">
        <f t="shared" si="179"/>
        <v>0</v>
      </c>
      <c r="R956" s="12" t="str">
        <f t="shared" si="180"/>
        <v>Không đạt</v>
      </c>
      <c r="S956" s="10"/>
      <c r="T956" s="95"/>
    </row>
    <row r="957" spans="1:21" s="84" customFormat="1" hidden="1" x14ac:dyDescent="0.25">
      <c r="A957" s="9" t="s">
        <v>154</v>
      </c>
      <c r="B957" s="1"/>
      <c r="C957" s="1" t="s">
        <v>581</v>
      </c>
      <c r="D957" s="15">
        <f t="shared" si="181"/>
        <v>4.3478260869565215</v>
      </c>
      <c r="E957" s="11">
        <v>1.7391304347826086</v>
      </c>
      <c r="F957" s="11">
        <v>2.6086956521739131</v>
      </c>
      <c r="G957" s="15">
        <v>100</v>
      </c>
      <c r="H957" s="15">
        <v>97.222222222222214</v>
      </c>
      <c r="I957" s="12">
        <f t="shared" si="182"/>
        <v>0</v>
      </c>
      <c r="J957" s="12" t="str">
        <f t="shared" si="183"/>
        <v>Không đạt</v>
      </c>
      <c r="K957" s="10"/>
      <c r="L957" s="96">
        <f t="shared" si="178"/>
        <v>4.3499999999999996</v>
      </c>
      <c r="M957" s="10">
        <v>1.74</v>
      </c>
      <c r="N957" s="10">
        <v>2.61</v>
      </c>
      <c r="O957" s="15">
        <v>100</v>
      </c>
      <c r="P957" s="97">
        <v>97.222222222222214</v>
      </c>
      <c r="Q957" s="12">
        <f t="shared" si="179"/>
        <v>0</v>
      </c>
      <c r="R957" s="12" t="str">
        <f t="shared" si="180"/>
        <v>Không đạt</v>
      </c>
      <c r="S957" s="10"/>
      <c r="T957" s="95"/>
    </row>
    <row r="958" spans="1:21" s="84" customFormat="1" hidden="1" x14ac:dyDescent="0.25">
      <c r="A958" s="9" t="s">
        <v>155</v>
      </c>
      <c r="B958" s="1"/>
      <c r="C958" s="1" t="s">
        <v>582</v>
      </c>
      <c r="D958" s="15">
        <f t="shared" si="181"/>
        <v>8.7837837837837842</v>
      </c>
      <c r="E958" s="11">
        <v>0.67567567567567566</v>
      </c>
      <c r="F958" s="11">
        <v>8.1081081081081088</v>
      </c>
      <c r="G958" s="15">
        <v>100</v>
      </c>
      <c r="H958" s="15">
        <v>90.654205607476641</v>
      </c>
      <c r="I958" s="12">
        <f t="shared" si="182"/>
        <v>0</v>
      </c>
      <c r="J958" s="12" t="str">
        <f t="shared" si="183"/>
        <v>Không đạt</v>
      </c>
      <c r="K958" s="10"/>
      <c r="L958" s="96">
        <f t="shared" si="178"/>
        <v>8.7899999999999991</v>
      </c>
      <c r="M958" s="10">
        <v>0.68</v>
      </c>
      <c r="N958" s="10">
        <v>8.11</v>
      </c>
      <c r="O958" s="15">
        <v>100</v>
      </c>
      <c r="P958" s="97">
        <v>90.654205607476641</v>
      </c>
      <c r="Q958" s="12">
        <f t="shared" si="179"/>
        <v>0</v>
      </c>
      <c r="R958" s="12" t="str">
        <f t="shared" si="180"/>
        <v>Không đạt</v>
      </c>
      <c r="S958" s="10"/>
      <c r="T958" s="95"/>
    </row>
    <row r="959" spans="1:21" s="117" customFormat="1" ht="30" x14ac:dyDescent="0.25">
      <c r="A959" s="87" t="s">
        <v>156</v>
      </c>
      <c r="B959" s="88"/>
      <c r="C959" s="88" t="s">
        <v>465</v>
      </c>
      <c r="D959" s="60">
        <f t="shared" si="181"/>
        <v>24.840764331210192</v>
      </c>
      <c r="E959" s="44">
        <v>1.2738853503184715</v>
      </c>
      <c r="F959" s="44">
        <v>23.566878980891719</v>
      </c>
      <c r="G959" s="60">
        <v>85</v>
      </c>
      <c r="H959" s="60">
        <v>88.5</v>
      </c>
      <c r="I959" s="45">
        <f t="shared" si="182"/>
        <v>2</v>
      </c>
      <c r="J959" s="45" t="str">
        <f t="shared" si="183"/>
        <v>Đạt</v>
      </c>
      <c r="K959" s="43"/>
      <c r="L959" s="61">
        <f t="shared" si="178"/>
        <v>24.84</v>
      </c>
      <c r="M959" s="43">
        <v>1.27</v>
      </c>
      <c r="N959" s="43">
        <v>23.57</v>
      </c>
      <c r="O959" s="60">
        <v>85</v>
      </c>
      <c r="P959" s="119">
        <v>97.7</v>
      </c>
      <c r="Q959" s="45">
        <f>SUM((IF(L959&gt;=16.24,1,0))+(IF(O959&lt;60,1,0))+(IF(P959&lt;90,1,0)))</f>
        <v>1</v>
      </c>
      <c r="R959" s="45" t="str">
        <f>IF(Q959&gt;=2,"Đạt","Không đạt")</f>
        <v>Không đạt</v>
      </c>
      <c r="S959" s="43" t="s">
        <v>1185</v>
      </c>
      <c r="T959" s="86"/>
    </row>
    <row r="960" spans="1:21" s="117" customFormat="1" ht="30" x14ac:dyDescent="0.25">
      <c r="A960" s="87" t="s">
        <v>157</v>
      </c>
      <c r="B960" s="88"/>
      <c r="C960" s="88" t="s">
        <v>583</v>
      </c>
      <c r="D960" s="60">
        <f t="shared" si="181"/>
        <v>31.73076923076923</v>
      </c>
      <c r="E960" s="44">
        <v>0</v>
      </c>
      <c r="F960" s="44">
        <v>31.73076923076923</v>
      </c>
      <c r="G960" s="60">
        <v>90</v>
      </c>
      <c r="H960" s="60">
        <v>89.5</v>
      </c>
      <c r="I960" s="45">
        <f t="shared" si="182"/>
        <v>2</v>
      </c>
      <c r="J960" s="45" t="str">
        <f t="shared" si="183"/>
        <v>Đạt</v>
      </c>
      <c r="K960" s="43"/>
      <c r="L960" s="61">
        <f t="shared" si="178"/>
        <v>31.73</v>
      </c>
      <c r="M960" s="43">
        <v>0</v>
      </c>
      <c r="N960" s="43">
        <v>31.73</v>
      </c>
      <c r="O960" s="60">
        <v>90</v>
      </c>
      <c r="P960" s="119">
        <v>98.9</v>
      </c>
      <c r="Q960" s="45">
        <f t="shared" si="179"/>
        <v>1</v>
      </c>
      <c r="R960" s="45" t="str">
        <f t="shared" si="180"/>
        <v>Không đạt</v>
      </c>
      <c r="S960" s="43" t="s">
        <v>1185</v>
      </c>
      <c r="T960" s="86"/>
    </row>
    <row r="961" spans="1:20" s="117" customFormat="1" ht="30" x14ac:dyDescent="0.25">
      <c r="A961" s="87" t="s">
        <v>158</v>
      </c>
      <c r="B961" s="88"/>
      <c r="C961" s="88" t="s">
        <v>584</v>
      </c>
      <c r="D961" s="60">
        <f t="shared" si="181"/>
        <v>93.333333333333329</v>
      </c>
      <c r="E961" s="44">
        <v>3.3333333333333335</v>
      </c>
      <c r="F961" s="44">
        <v>90</v>
      </c>
      <c r="G961" s="60">
        <v>90</v>
      </c>
      <c r="H961" s="60">
        <v>77.5</v>
      </c>
      <c r="I961" s="45">
        <f t="shared" si="182"/>
        <v>2</v>
      </c>
      <c r="J961" s="45" t="str">
        <f t="shared" si="183"/>
        <v>Đạt</v>
      </c>
      <c r="K961" s="43"/>
      <c r="L961" s="61">
        <f t="shared" si="178"/>
        <v>93.33</v>
      </c>
      <c r="M961" s="43">
        <v>3.33</v>
      </c>
      <c r="N961" s="43">
        <v>90</v>
      </c>
      <c r="O961" s="60">
        <v>90</v>
      </c>
      <c r="P961" s="119">
        <v>97.5</v>
      </c>
      <c r="Q961" s="45">
        <f t="shared" si="179"/>
        <v>1</v>
      </c>
      <c r="R961" s="45" t="str">
        <f t="shared" si="180"/>
        <v>Không đạt</v>
      </c>
      <c r="S961" s="43" t="s">
        <v>1185</v>
      </c>
      <c r="T961" s="86"/>
    </row>
    <row r="962" spans="1:20" s="117" customFormat="1" ht="18.75" hidden="1" x14ac:dyDescent="0.25">
      <c r="A962" s="87" t="s">
        <v>159</v>
      </c>
      <c r="B962" s="88"/>
      <c r="C962" s="88" t="s">
        <v>585</v>
      </c>
      <c r="D962" s="60">
        <f t="shared" si="181"/>
        <v>4</v>
      </c>
      <c r="E962" s="44">
        <v>0</v>
      </c>
      <c r="F962" s="44">
        <v>4</v>
      </c>
      <c r="G962" s="60">
        <v>85</v>
      </c>
      <c r="H962" s="60">
        <v>73.043478260869563</v>
      </c>
      <c r="I962" s="45">
        <f t="shared" si="182"/>
        <v>1</v>
      </c>
      <c r="J962" s="45" t="str">
        <f t="shared" si="183"/>
        <v>Không đạt</v>
      </c>
      <c r="K962" s="43"/>
      <c r="L962" s="61">
        <f t="shared" si="178"/>
        <v>4</v>
      </c>
      <c r="M962" s="43">
        <v>0</v>
      </c>
      <c r="N962" s="43">
        <v>4</v>
      </c>
      <c r="O962" s="60">
        <v>85</v>
      </c>
      <c r="P962" s="119">
        <v>73.043478260869563</v>
      </c>
      <c r="Q962" s="45">
        <f t="shared" si="179"/>
        <v>1</v>
      </c>
      <c r="R962" s="45" t="str">
        <f t="shared" si="180"/>
        <v>Không đạt</v>
      </c>
      <c r="S962" s="43"/>
      <c r="T962" s="86"/>
    </row>
    <row r="963" spans="1:20" s="117" customFormat="1" ht="18.75" hidden="1" x14ac:dyDescent="0.25">
      <c r="A963" s="87" t="s">
        <v>160</v>
      </c>
      <c r="B963" s="88"/>
      <c r="C963" s="88" t="s">
        <v>586</v>
      </c>
      <c r="D963" s="60">
        <f t="shared" si="181"/>
        <v>23.931623931623932</v>
      </c>
      <c r="E963" s="44">
        <v>0</v>
      </c>
      <c r="F963" s="44">
        <v>23.931623931623932</v>
      </c>
      <c r="G963" s="60">
        <v>85</v>
      </c>
      <c r="H963" s="60">
        <v>96.666666666666671</v>
      </c>
      <c r="I963" s="45">
        <f t="shared" si="182"/>
        <v>1</v>
      </c>
      <c r="J963" s="45" t="str">
        <f t="shared" si="183"/>
        <v>Không đạt</v>
      </c>
      <c r="K963" s="43"/>
      <c r="L963" s="61">
        <f t="shared" si="178"/>
        <v>23.93</v>
      </c>
      <c r="M963" s="43">
        <v>0</v>
      </c>
      <c r="N963" s="43">
        <v>23.93</v>
      </c>
      <c r="O963" s="60">
        <v>85</v>
      </c>
      <c r="P963" s="119">
        <v>96.666666666666671</v>
      </c>
      <c r="Q963" s="45">
        <f t="shared" si="179"/>
        <v>1</v>
      </c>
      <c r="R963" s="45" t="str">
        <f t="shared" si="180"/>
        <v>Không đạt</v>
      </c>
      <c r="S963" s="43"/>
      <c r="T963" s="86"/>
    </row>
    <row r="964" spans="1:20" s="117" customFormat="1" ht="18.75" hidden="1" x14ac:dyDescent="0.25">
      <c r="A964" s="87" t="s">
        <v>161</v>
      </c>
      <c r="B964" s="88"/>
      <c r="C964" s="88" t="s">
        <v>587</v>
      </c>
      <c r="D964" s="60">
        <f t="shared" si="181"/>
        <v>12.820512820512819</v>
      </c>
      <c r="E964" s="44">
        <v>0</v>
      </c>
      <c r="F964" s="44">
        <v>12.820512820512819</v>
      </c>
      <c r="G964" s="60">
        <v>100</v>
      </c>
      <c r="H964" s="60">
        <v>93.75</v>
      </c>
      <c r="I964" s="45">
        <f t="shared" si="182"/>
        <v>0</v>
      </c>
      <c r="J964" s="45" t="str">
        <f t="shared" si="183"/>
        <v>Không đạt</v>
      </c>
      <c r="K964" s="43"/>
      <c r="L964" s="61">
        <f t="shared" si="178"/>
        <v>12.82</v>
      </c>
      <c r="M964" s="43">
        <v>0</v>
      </c>
      <c r="N964" s="43">
        <v>12.82</v>
      </c>
      <c r="O964" s="60">
        <v>100</v>
      </c>
      <c r="P964" s="119">
        <v>93.75</v>
      </c>
      <c r="Q964" s="45">
        <f t="shared" si="179"/>
        <v>0</v>
      </c>
      <c r="R964" s="45" t="str">
        <f t="shared" si="180"/>
        <v>Không đạt</v>
      </c>
      <c r="S964" s="43"/>
      <c r="T964" s="86"/>
    </row>
    <row r="965" spans="1:20" s="117" customFormat="1" ht="30" x14ac:dyDescent="0.25">
      <c r="A965" s="87" t="s">
        <v>162</v>
      </c>
      <c r="B965" s="88"/>
      <c r="C965" s="88" t="s">
        <v>588</v>
      </c>
      <c r="D965" s="60">
        <f t="shared" si="181"/>
        <v>14.563106796116504</v>
      </c>
      <c r="E965" s="44">
        <v>0</v>
      </c>
      <c r="F965" s="44">
        <v>14.563106796116504</v>
      </c>
      <c r="G965" s="60">
        <v>58</v>
      </c>
      <c r="H965" s="60">
        <v>84</v>
      </c>
      <c r="I965" s="45">
        <f t="shared" si="182"/>
        <v>2</v>
      </c>
      <c r="J965" s="45" t="str">
        <f t="shared" si="183"/>
        <v>Đạt</v>
      </c>
      <c r="K965" s="43"/>
      <c r="L965" s="61">
        <f t="shared" si="178"/>
        <v>14.56</v>
      </c>
      <c r="M965" s="43">
        <v>0</v>
      </c>
      <c r="N965" s="43">
        <v>14.56</v>
      </c>
      <c r="O965" s="60">
        <v>58</v>
      </c>
      <c r="P965" s="119">
        <v>97.3</v>
      </c>
      <c r="Q965" s="45">
        <f t="shared" si="179"/>
        <v>1</v>
      </c>
      <c r="R965" s="45" t="str">
        <f t="shared" si="180"/>
        <v>Không đạt</v>
      </c>
      <c r="S965" s="43" t="s">
        <v>1185</v>
      </c>
      <c r="T965" s="86"/>
    </row>
    <row r="966" spans="1:20" s="117" customFormat="1" ht="18.75" hidden="1" x14ac:dyDescent="0.25">
      <c r="A966" s="87" t="s">
        <v>163</v>
      </c>
      <c r="B966" s="88"/>
      <c r="C966" s="88" t="s">
        <v>589</v>
      </c>
      <c r="D966" s="60">
        <f t="shared" si="181"/>
        <v>1.9230769230769229</v>
      </c>
      <c r="E966" s="44">
        <v>0.64102564102564097</v>
      </c>
      <c r="F966" s="44">
        <v>1.2820512820512819</v>
      </c>
      <c r="G966" s="60">
        <v>100</v>
      </c>
      <c r="H966" s="60">
        <v>97.6</v>
      </c>
      <c r="I966" s="45">
        <f t="shared" si="182"/>
        <v>0</v>
      </c>
      <c r="J966" s="45" t="str">
        <f t="shared" si="183"/>
        <v>Không đạt</v>
      </c>
      <c r="K966" s="43"/>
      <c r="L966" s="61">
        <f t="shared" si="178"/>
        <v>1.92</v>
      </c>
      <c r="M966" s="43">
        <v>0.64</v>
      </c>
      <c r="N966" s="43">
        <v>1.28</v>
      </c>
      <c r="O966" s="60">
        <v>100</v>
      </c>
      <c r="P966" s="119">
        <v>97.6</v>
      </c>
      <c r="Q966" s="45">
        <f t="shared" si="179"/>
        <v>0</v>
      </c>
      <c r="R966" s="45" t="str">
        <f t="shared" si="180"/>
        <v>Không đạt</v>
      </c>
      <c r="S966" s="43"/>
      <c r="T966" s="86"/>
    </row>
    <row r="967" spans="1:20" s="117" customFormat="1" ht="18.75" hidden="1" x14ac:dyDescent="0.25">
      <c r="A967" s="87" t="s">
        <v>164</v>
      </c>
      <c r="B967" s="88"/>
      <c r="C967" s="88" t="s">
        <v>590</v>
      </c>
      <c r="D967" s="60">
        <f t="shared" si="181"/>
        <v>3.5502958579881656</v>
      </c>
      <c r="E967" s="44">
        <v>1.7751479289940828</v>
      </c>
      <c r="F967" s="44">
        <v>1.7751479289940828</v>
      </c>
      <c r="G967" s="60">
        <v>100</v>
      </c>
      <c r="H967" s="60">
        <v>97.777777777777771</v>
      </c>
      <c r="I967" s="45">
        <f t="shared" si="182"/>
        <v>0</v>
      </c>
      <c r="J967" s="45" t="str">
        <f t="shared" si="183"/>
        <v>Không đạt</v>
      </c>
      <c r="K967" s="43"/>
      <c r="L967" s="61">
        <f t="shared" si="178"/>
        <v>3.56</v>
      </c>
      <c r="M967" s="43">
        <v>1.78</v>
      </c>
      <c r="N967" s="43">
        <v>1.78</v>
      </c>
      <c r="O967" s="60">
        <v>100</v>
      </c>
      <c r="P967" s="119">
        <v>97.777777777777771</v>
      </c>
      <c r="Q967" s="45">
        <f t="shared" si="179"/>
        <v>0</v>
      </c>
      <c r="R967" s="45" t="str">
        <f t="shared" si="180"/>
        <v>Không đạt</v>
      </c>
      <c r="S967" s="43"/>
      <c r="T967" s="86"/>
    </row>
    <row r="968" spans="1:20" s="117" customFormat="1" ht="18.75" hidden="1" x14ac:dyDescent="0.25">
      <c r="A968" s="87" t="s">
        <v>165</v>
      </c>
      <c r="B968" s="88"/>
      <c r="C968" s="88" t="s">
        <v>591</v>
      </c>
      <c r="D968" s="60">
        <f t="shared" si="181"/>
        <v>2.0100502512562812</v>
      </c>
      <c r="E968" s="44">
        <v>1.0050251256281406</v>
      </c>
      <c r="F968" s="44">
        <v>1.0050251256281406</v>
      </c>
      <c r="G968" s="60">
        <v>100</v>
      </c>
      <c r="H968" s="60">
        <v>90.285714285714278</v>
      </c>
      <c r="I968" s="45">
        <f t="shared" si="182"/>
        <v>0</v>
      </c>
      <c r="J968" s="45" t="str">
        <f t="shared" si="183"/>
        <v>Không đạt</v>
      </c>
      <c r="K968" s="43"/>
      <c r="L968" s="61">
        <f t="shared" si="178"/>
        <v>2.02</v>
      </c>
      <c r="M968" s="43">
        <v>1.01</v>
      </c>
      <c r="N968" s="43">
        <v>1.01</v>
      </c>
      <c r="O968" s="60">
        <v>100</v>
      </c>
      <c r="P968" s="119">
        <v>90.285714285714278</v>
      </c>
      <c r="Q968" s="45">
        <f t="shared" si="179"/>
        <v>0</v>
      </c>
      <c r="R968" s="45" t="str">
        <f t="shared" si="180"/>
        <v>Không đạt</v>
      </c>
      <c r="S968" s="43"/>
      <c r="T968" s="86"/>
    </row>
    <row r="969" spans="1:20" s="117" customFormat="1" ht="18.75" hidden="1" x14ac:dyDescent="0.25">
      <c r="A969" s="87" t="s">
        <v>166</v>
      </c>
      <c r="B969" s="88"/>
      <c r="C969" s="88" t="s">
        <v>592</v>
      </c>
      <c r="D969" s="60">
        <f t="shared" si="181"/>
        <v>4</v>
      </c>
      <c r="E969" s="44">
        <v>0.88888888888888884</v>
      </c>
      <c r="F969" s="44">
        <v>3.1111111111111112</v>
      </c>
      <c r="G969" s="60">
        <v>100</v>
      </c>
      <c r="H969" s="60">
        <v>98.181818181818187</v>
      </c>
      <c r="I969" s="45">
        <f t="shared" si="182"/>
        <v>0</v>
      </c>
      <c r="J969" s="45" t="str">
        <f t="shared" si="183"/>
        <v>Không đạt</v>
      </c>
      <c r="K969" s="43"/>
      <c r="L969" s="61">
        <f t="shared" si="178"/>
        <v>4</v>
      </c>
      <c r="M969" s="43">
        <v>0.89</v>
      </c>
      <c r="N969" s="43">
        <v>3.11</v>
      </c>
      <c r="O969" s="60">
        <v>100</v>
      </c>
      <c r="P969" s="119">
        <v>98.181818181818187</v>
      </c>
      <c r="Q969" s="45">
        <f t="shared" si="179"/>
        <v>0</v>
      </c>
      <c r="R969" s="45" t="str">
        <f t="shared" si="180"/>
        <v>Không đạt</v>
      </c>
      <c r="S969" s="43"/>
      <c r="T969" s="86"/>
    </row>
    <row r="970" spans="1:20" s="117" customFormat="1" ht="18.75" hidden="1" x14ac:dyDescent="0.25">
      <c r="A970" s="87" t="s">
        <v>167</v>
      </c>
      <c r="B970" s="88"/>
      <c r="C970" s="88" t="s">
        <v>593</v>
      </c>
      <c r="D970" s="60">
        <f t="shared" si="181"/>
        <v>0.83333333333333337</v>
      </c>
      <c r="E970" s="44">
        <v>0</v>
      </c>
      <c r="F970" s="44">
        <v>0.83333333333333337</v>
      </c>
      <c r="G970" s="60">
        <v>100</v>
      </c>
      <c r="H970" s="60">
        <v>92.5</v>
      </c>
      <c r="I970" s="45">
        <f t="shared" si="182"/>
        <v>0</v>
      </c>
      <c r="J970" s="45" t="str">
        <f t="shared" si="183"/>
        <v>Không đạt</v>
      </c>
      <c r="K970" s="43"/>
      <c r="L970" s="61">
        <f t="shared" si="178"/>
        <v>0.83</v>
      </c>
      <c r="M970" s="43">
        <v>0</v>
      </c>
      <c r="N970" s="43">
        <v>0.83</v>
      </c>
      <c r="O970" s="60">
        <v>100</v>
      </c>
      <c r="P970" s="119">
        <v>92.5</v>
      </c>
      <c r="Q970" s="45">
        <f t="shared" si="179"/>
        <v>0</v>
      </c>
      <c r="R970" s="45" t="str">
        <f t="shared" si="180"/>
        <v>Không đạt</v>
      </c>
      <c r="S970" s="43"/>
      <c r="T970" s="86"/>
    </row>
    <row r="971" spans="1:20" s="117" customFormat="1" ht="18.75" hidden="1" x14ac:dyDescent="0.25">
      <c r="A971" s="87" t="s">
        <v>168</v>
      </c>
      <c r="B971" s="88"/>
      <c r="C971" s="88" t="s">
        <v>594</v>
      </c>
      <c r="D971" s="60">
        <f t="shared" si="181"/>
        <v>1.8518518518518516</v>
      </c>
      <c r="E971" s="44">
        <v>0.61728395061728392</v>
      </c>
      <c r="F971" s="44">
        <v>1.2345679012345678</v>
      </c>
      <c r="G971" s="60">
        <v>100</v>
      </c>
      <c r="H971" s="60">
        <v>98.666666666666671</v>
      </c>
      <c r="I971" s="45">
        <f t="shared" si="182"/>
        <v>0</v>
      </c>
      <c r="J971" s="45" t="str">
        <f t="shared" si="183"/>
        <v>Không đạt</v>
      </c>
      <c r="K971" s="43"/>
      <c r="L971" s="61">
        <f t="shared" si="178"/>
        <v>1.85</v>
      </c>
      <c r="M971" s="43">
        <v>0.62</v>
      </c>
      <c r="N971" s="43">
        <v>1.23</v>
      </c>
      <c r="O971" s="60">
        <v>100</v>
      </c>
      <c r="P971" s="119">
        <v>98.666666666666671</v>
      </c>
      <c r="Q971" s="45">
        <f t="shared" si="179"/>
        <v>0</v>
      </c>
      <c r="R971" s="45" t="str">
        <f t="shared" si="180"/>
        <v>Không đạt</v>
      </c>
      <c r="S971" s="43"/>
      <c r="T971" s="86"/>
    </row>
    <row r="972" spans="1:20" s="117" customFormat="1" ht="18.75" hidden="1" x14ac:dyDescent="0.25">
      <c r="A972" s="87" t="s">
        <v>169</v>
      </c>
      <c r="B972" s="88"/>
      <c r="C972" s="88" t="s">
        <v>595</v>
      </c>
      <c r="D972" s="60">
        <f t="shared" si="181"/>
        <v>1.8518518518518516</v>
      </c>
      <c r="E972" s="44">
        <v>0.61728395061728392</v>
      </c>
      <c r="F972" s="44">
        <v>1.2345679012345678</v>
      </c>
      <c r="G972" s="60">
        <v>100</v>
      </c>
      <c r="H972" s="60">
        <v>98.461538461538467</v>
      </c>
      <c r="I972" s="45">
        <f t="shared" si="182"/>
        <v>0</v>
      </c>
      <c r="J972" s="45" t="str">
        <f t="shared" si="183"/>
        <v>Không đạt</v>
      </c>
      <c r="K972" s="43"/>
      <c r="L972" s="61">
        <f t="shared" si="178"/>
        <v>1.85</v>
      </c>
      <c r="M972" s="43">
        <v>0.62</v>
      </c>
      <c r="N972" s="43">
        <v>1.23</v>
      </c>
      <c r="O972" s="60">
        <v>100</v>
      </c>
      <c r="P972" s="119">
        <v>98.461538461538467</v>
      </c>
      <c r="Q972" s="45">
        <f t="shared" si="179"/>
        <v>0</v>
      </c>
      <c r="R972" s="45" t="str">
        <f t="shared" si="180"/>
        <v>Không đạt</v>
      </c>
      <c r="S972" s="43"/>
      <c r="T972" s="86"/>
    </row>
    <row r="973" spans="1:20" s="117" customFormat="1" ht="18.75" hidden="1" x14ac:dyDescent="0.25">
      <c r="A973" s="87" t="s">
        <v>170</v>
      </c>
      <c r="B973" s="88"/>
      <c r="C973" s="88" t="s">
        <v>596</v>
      </c>
      <c r="D973" s="60">
        <f t="shared" si="181"/>
        <v>1.8518518518518516</v>
      </c>
      <c r="E973" s="44">
        <v>1.2345679012345678</v>
      </c>
      <c r="F973" s="44">
        <v>0.61728395061728392</v>
      </c>
      <c r="G973" s="60">
        <v>100</v>
      </c>
      <c r="H973" s="60">
        <v>97.142857142857139</v>
      </c>
      <c r="I973" s="45">
        <f t="shared" si="182"/>
        <v>0</v>
      </c>
      <c r="J973" s="45" t="str">
        <f t="shared" si="183"/>
        <v>Không đạt</v>
      </c>
      <c r="K973" s="43"/>
      <c r="L973" s="61">
        <f t="shared" si="178"/>
        <v>1.85</v>
      </c>
      <c r="M973" s="43">
        <v>1.23</v>
      </c>
      <c r="N973" s="43">
        <v>0.62</v>
      </c>
      <c r="O973" s="60">
        <v>100</v>
      </c>
      <c r="P973" s="119">
        <v>97.142857142857139</v>
      </c>
      <c r="Q973" s="45">
        <f t="shared" si="179"/>
        <v>0</v>
      </c>
      <c r="R973" s="45" t="str">
        <f t="shared" si="180"/>
        <v>Không đạt</v>
      </c>
      <c r="S973" s="43"/>
      <c r="T973" s="86"/>
    </row>
    <row r="974" spans="1:20" s="117" customFormat="1" ht="18.75" hidden="1" x14ac:dyDescent="0.25">
      <c r="A974" s="87" t="s">
        <v>171</v>
      </c>
      <c r="B974" s="88"/>
      <c r="C974" s="88" t="s">
        <v>597</v>
      </c>
      <c r="D974" s="60">
        <f t="shared" si="181"/>
        <v>3.125</v>
      </c>
      <c r="E974" s="44">
        <v>1.25</v>
      </c>
      <c r="F974" s="44">
        <v>1.875</v>
      </c>
      <c r="G974" s="60">
        <v>100</v>
      </c>
      <c r="H974" s="60">
        <v>96.36363636363636</v>
      </c>
      <c r="I974" s="45">
        <f t="shared" si="182"/>
        <v>0</v>
      </c>
      <c r="J974" s="45" t="str">
        <f t="shared" si="183"/>
        <v>Không đạt</v>
      </c>
      <c r="K974" s="43"/>
      <c r="L974" s="61">
        <f t="shared" si="178"/>
        <v>3.13</v>
      </c>
      <c r="M974" s="43">
        <v>1.25</v>
      </c>
      <c r="N974" s="43">
        <v>1.88</v>
      </c>
      <c r="O974" s="60">
        <v>100</v>
      </c>
      <c r="P974" s="119">
        <v>96.36363636363636</v>
      </c>
      <c r="Q974" s="45">
        <f t="shared" si="179"/>
        <v>0</v>
      </c>
      <c r="R974" s="45" t="str">
        <f t="shared" si="180"/>
        <v>Không đạt</v>
      </c>
      <c r="S974" s="43"/>
      <c r="T974" s="86"/>
    </row>
    <row r="975" spans="1:20" s="117" customFormat="1" ht="18.75" hidden="1" x14ac:dyDescent="0.25">
      <c r="A975" s="87" t="s">
        <v>172</v>
      </c>
      <c r="B975" s="88"/>
      <c r="C975" s="88" t="s">
        <v>598</v>
      </c>
      <c r="D975" s="60">
        <f t="shared" si="181"/>
        <v>1.9736842105263155</v>
      </c>
      <c r="E975" s="44">
        <v>1.3157894736842104</v>
      </c>
      <c r="F975" s="44">
        <v>0.6578947368421052</v>
      </c>
      <c r="G975" s="60">
        <v>100</v>
      </c>
      <c r="H975" s="60">
        <v>96.09375</v>
      </c>
      <c r="I975" s="45">
        <f t="shared" si="182"/>
        <v>0</v>
      </c>
      <c r="J975" s="45" t="str">
        <f t="shared" si="183"/>
        <v>Không đạt</v>
      </c>
      <c r="K975" s="43"/>
      <c r="L975" s="61">
        <f t="shared" si="178"/>
        <v>1.98</v>
      </c>
      <c r="M975" s="43">
        <v>1.32</v>
      </c>
      <c r="N975" s="43">
        <v>0.66</v>
      </c>
      <c r="O975" s="60">
        <v>100</v>
      </c>
      <c r="P975" s="119">
        <v>96.09375</v>
      </c>
      <c r="Q975" s="45">
        <f t="shared" si="179"/>
        <v>0</v>
      </c>
      <c r="R975" s="45" t="str">
        <f t="shared" si="180"/>
        <v>Không đạt</v>
      </c>
      <c r="S975" s="43"/>
      <c r="T975" s="86"/>
    </row>
    <row r="976" spans="1:20" s="117" customFormat="1" ht="18.75" hidden="1" x14ac:dyDescent="0.25">
      <c r="A976" s="87" t="s">
        <v>173</v>
      </c>
      <c r="B976" s="88"/>
      <c r="C976" s="88" t="s">
        <v>599</v>
      </c>
      <c r="D976" s="60">
        <f t="shared" si="181"/>
        <v>2</v>
      </c>
      <c r="E976" s="44">
        <v>2</v>
      </c>
      <c r="F976" s="44">
        <v>0</v>
      </c>
      <c r="G976" s="60">
        <v>100</v>
      </c>
      <c r="H976" s="60">
        <v>91.304347826086953</v>
      </c>
      <c r="I976" s="45">
        <f t="shared" si="182"/>
        <v>0</v>
      </c>
      <c r="J976" s="45" t="str">
        <f t="shared" si="183"/>
        <v>Không đạt</v>
      </c>
      <c r="K976" s="43"/>
      <c r="L976" s="61">
        <f t="shared" si="178"/>
        <v>2</v>
      </c>
      <c r="M976" s="43">
        <v>2</v>
      </c>
      <c r="N976" s="43">
        <v>0</v>
      </c>
      <c r="O976" s="60">
        <v>100</v>
      </c>
      <c r="P976" s="119">
        <v>91.304347826086953</v>
      </c>
      <c r="Q976" s="45">
        <f t="shared" si="179"/>
        <v>0</v>
      </c>
      <c r="R976" s="45" t="str">
        <f t="shared" si="180"/>
        <v>Không đạt</v>
      </c>
      <c r="S976" s="43"/>
      <c r="T976" s="86"/>
    </row>
    <row r="977" spans="1:20" s="117" customFormat="1" ht="18.75" hidden="1" x14ac:dyDescent="0.25">
      <c r="A977" s="87" t="s">
        <v>174</v>
      </c>
      <c r="B977" s="88"/>
      <c r="C977" s="88" t="s">
        <v>600</v>
      </c>
      <c r="D977" s="60">
        <f t="shared" si="181"/>
        <v>3.9370078740157477</v>
      </c>
      <c r="E977" s="44">
        <v>1.5748031496062991</v>
      </c>
      <c r="F977" s="44">
        <v>2.3622047244094486</v>
      </c>
      <c r="G977" s="60">
        <v>100</v>
      </c>
      <c r="H977" s="60">
        <v>95.925925925925924</v>
      </c>
      <c r="I977" s="45">
        <f t="shared" si="182"/>
        <v>0</v>
      </c>
      <c r="J977" s="45" t="str">
        <f t="shared" si="183"/>
        <v>Không đạt</v>
      </c>
      <c r="K977" s="43"/>
      <c r="L977" s="61">
        <f t="shared" si="178"/>
        <v>3.9299999999999997</v>
      </c>
      <c r="M977" s="43">
        <v>1.57</v>
      </c>
      <c r="N977" s="43">
        <v>2.36</v>
      </c>
      <c r="O977" s="60">
        <v>100</v>
      </c>
      <c r="P977" s="119">
        <v>95.925925925925924</v>
      </c>
      <c r="Q977" s="45">
        <f t="shared" si="179"/>
        <v>0</v>
      </c>
      <c r="R977" s="45" t="str">
        <f t="shared" si="180"/>
        <v>Không đạt</v>
      </c>
      <c r="S977" s="43"/>
      <c r="T977" s="86"/>
    </row>
    <row r="978" spans="1:20" s="117" customFormat="1" ht="18.75" hidden="1" x14ac:dyDescent="0.25">
      <c r="A978" s="87" t="s">
        <v>175</v>
      </c>
      <c r="B978" s="88"/>
      <c r="C978" s="88" t="s">
        <v>601</v>
      </c>
      <c r="D978" s="60">
        <f t="shared" si="181"/>
        <v>37.878787878787875</v>
      </c>
      <c r="E978" s="44">
        <v>15.151515151515152</v>
      </c>
      <c r="F978" s="44">
        <v>22.727272727272727</v>
      </c>
      <c r="G978" s="60">
        <v>57</v>
      </c>
      <c r="H978" s="60">
        <v>91.794871794871796</v>
      </c>
      <c r="I978" s="45">
        <f t="shared" si="182"/>
        <v>2</v>
      </c>
      <c r="J978" s="45" t="str">
        <f t="shared" si="183"/>
        <v>Đạt</v>
      </c>
      <c r="K978" s="43"/>
      <c r="L978" s="61">
        <f t="shared" si="178"/>
        <v>37.880000000000003</v>
      </c>
      <c r="M978" s="43">
        <v>15.15</v>
      </c>
      <c r="N978" s="43">
        <v>22.73</v>
      </c>
      <c r="O978" s="60">
        <v>57</v>
      </c>
      <c r="P978" s="119">
        <v>91.794871794871796</v>
      </c>
      <c r="Q978" s="45">
        <f t="shared" si="179"/>
        <v>2</v>
      </c>
      <c r="R978" s="45" t="str">
        <f t="shared" si="180"/>
        <v>Đạt</v>
      </c>
      <c r="S978" s="43"/>
      <c r="T978" s="86"/>
    </row>
    <row r="979" spans="1:20" s="117" customFormat="1" ht="18.75" hidden="1" x14ac:dyDescent="0.25">
      <c r="A979" s="87" t="s">
        <v>176</v>
      </c>
      <c r="B979" s="88"/>
      <c r="C979" s="88" t="s">
        <v>602</v>
      </c>
      <c r="D979" s="60">
        <f t="shared" si="181"/>
        <v>59.130434782608695</v>
      </c>
      <c r="E979" s="44">
        <v>55.652173913043477</v>
      </c>
      <c r="F979" s="44">
        <v>3.4782608695652173</v>
      </c>
      <c r="G979" s="60">
        <v>55</v>
      </c>
      <c r="H979" s="60">
        <v>96.92307692307692</v>
      </c>
      <c r="I979" s="45">
        <f t="shared" si="182"/>
        <v>2</v>
      </c>
      <c r="J979" s="45" t="str">
        <f t="shared" si="183"/>
        <v>Đạt</v>
      </c>
      <c r="K979" s="43"/>
      <c r="L979" s="61">
        <f t="shared" si="178"/>
        <v>59.129999999999995</v>
      </c>
      <c r="M979" s="43">
        <v>55.65</v>
      </c>
      <c r="N979" s="43">
        <v>3.48</v>
      </c>
      <c r="O979" s="60">
        <v>55</v>
      </c>
      <c r="P979" s="119">
        <v>96.92307692307692</v>
      </c>
      <c r="Q979" s="45">
        <f t="shared" si="179"/>
        <v>2</v>
      </c>
      <c r="R979" s="45" t="str">
        <f t="shared" si="180"/>
        <v>Đạt</v>
      </c>
      <c r="S979" s="43"/>
      <c r="T979" s="86"/>
    </row>
    <row r="980" spans="1:20" s="117" customFormat="1" ht="18.75" hidden="1" x14ac:dyDescent="0.25">
      <c r="A980" s="87" t="s">
        <v>177</v>
      </c>
      <c r="B980" s="88"/>
      <c r="C980" s="88" t="s">
        <v>603</v>
      </c>
      <c r="D980" s="60">
        <f t="shared" si="181"/>
        <v>4.5714285714285712</v>
      </c>
      <c r="E980" s="44">
        <v>2.2857142857142856</v>
      </c>
      <c r="F980" s="44">
        <v>2.2857142857142856</v>
      </c>
      <c r="G980" s="60">
        <v>100</v>
      </c>
      <c r="H980" s="60">
        <v>97.5</v>
      </c>
      <c r="I980" s="45">
        <f t="shared" si="182"/>
        <v>0</v>
      </c>
      <c r="J980" s="45" t="str">
        <f t="shared" si="183"/>
        <v>Không đạt</v>
      </c>
      <c r="K980" s="43"/>
      <c r="L980" s="61">
        <f t="shared" si="178"/>
        <v>4.58</v>
      </c>
      <c r="M980" s="43">
        <v>2.29</v>
      </c>
      <c r="N980" s="43">
        <v>2.29</v>
      </c>
      <c r="O980" s="60">
        <v>100</v>
      </c>
      <c r="P980" s="119">
        <v>97.5</v>
      </c>
      <c r="Q980" s="45">
        <f t="shared" si="179"/>
        <v>0</v>
      </c>
      <c r="R980" s="45" t="str">
        <f t="shared" si="180"/>
        <v>Không đạt</v>
      </c>
      <c r="S980" s="43"/>
      <c r="T980" s="86"/>
    </row>
    <row r="981" spans="1:20" s="117" customFormat="1" ht="18.75" hidden="1" x14ac:dyDescent="0.25">
      <c r="A981" s="87" t="s">
        <v>178</v>
      </c>
      <c r="B981" s="88"/>
      <c r="C981" s="88" t="s">
        <v>604</v>
      </c>
      <c r="D981" s="60">
        <f t="shared" si="181"/>
        <v>3.9130434782608696</v>
      </c>
      <c r="E981" s="44">
        <v>1.3043478260869565</v>
      </c>
      <c r="F981" s="44">
        <v>2.6086956521739131</v>
      </c>
      <c r="G981" s="60">
        <v>100</v>
      </c>
      <c r="H981" s="60">
        <v>96.818181818181813</v>
      </c>
      <c r="I981" s="45">
        <f t="shared" si="182"/>
        <v>0</v>
      </c>
      <c r="J981" s="45" t="str">
        <f t="shared" si="183"/>
        <v>Không đạt</v>
      </c>
      <c r="K981" s="43"/>
      <c r="L981" s="61">
        <f t="shared" si="178"/>
        <v>3.91</v>
      </c>
      <c r="M981" s="43">
        <v>1.3</v>
      </c>
      <c r="N981" s="43">
        <v>2.61</v>
      </c>
      <c r="O981" s="60">
        <v>100</v>
      </c>
      <c r="P981" s="119">
        <v>96.818181818181813</v>
      </c>
      <c r="Q981" s="45">
        <f t="shared" si="179"/>
        <v>0</v>
      </c>
      <c r="R981" s="45" t="str">
        <f t="shared" si="180"/>
        <v>Không đạt</v>
      </c>
      <c r="S981" s="43"/>
      <c r="T981" s="86"/>
    </row>
    <row r="982" spans="1:20" s="117" customFormat="1" ht="18.75" hidden="1" x14ac:dyDescent="0.25">
      <c r="A982" s="87" t="s">
        <v>179</v>
      </c>
      <c r="B982" s="88"/>
      <c r="C982" s="88" t="s">
        <v>605</v>
      </c>
      <c r="D982" s="60">
        <f t="shared" si="181"/>
        <v>4.6692607003891053</v>
      </c>
      <c r="E982" s="44">
        <v>2.3346303501945527</v>
      </c>
      <c r="F982" s="44">
        <v>2.3346303501945527</v>
      </c>
      <c r="G982" s="60">
        <v>100</v>
      </c>
      <c r="H982" s="60">
        <v>99.555555555555557</v>
      </c>
      <c r="I982" s="45">
        <f t="shared" si="182"/>
        <v>0</v>
      </c>
      <c r="J982" s="45" t="str">
        <f t="shared" si="183"/>
        <v>Không đạt</v>
      </c>
      <c r="K982" s="43"/>
      <c r="L982" s="61">
        <f t="shared" si="178"/>
        <v>4.66</v>
      </c>
      <c r="M982" s="43">
        <v>2.33</v>
      </c>
      <c r="N982" s="43">
        <v>2.33</v>
      </c>
      <c r="O982" s="60">
        <v>100</v>
      </c>
      <c r="P982" s="119">
        <v>99.555555555555557</v>
      </c>
      <c r="Q982" s="45">
        <f t="shared" si="179"/>
        <v>0</v>
      </c>
      <c r="R982" s="45" t="str">
        <f t="shared" si="180"/>
        <v>Không đạt</v>
      </c>
      <c r="S982" s="43"/>
      <c r="T982" s="86"/>
    </row>
    <row r="983" spans="1:20" s="117" customFormat="1" ht="18.75" hidden="1" x14ac:dyDescent="0.25">
      <c r="A983" s="87" t="s">
        <v>180</v>
      </c>
      <c r="B983" s="88"/>
      <c r="C983" s="88" t="s">
        <v>606</v>
      </c>
      <c r="D983" s="60">
        <f t="shared" si="181"/>
        <v>4.0909090909090908</v>
      </c>
      <c r="E983" s="44">
        <v>1.8181818181818181</v>
      </c>
      <c r="F983" s="44">
        <v>2.2727272727272729</v>
      </c>
      <c r="G983" s="60">
        <v>100</v>
      </c>
      <c r="H983" s="60">
        <v>99.21875</v>
      </c>
      <c r="I983" s="45">
        <f t="shared" si="182"/>
        <v>0</v>
      </c>
      <c r="J983" s="45" t="str">
        <f t="shared" si="183"/>
        <v>Không đạt</v>
      </c>
      <c r="K983" s="43"/>
      <c r="L983" s="61">
        <f t="shared" si="178"/>
        <v>4.09</v>
      </c>
      <c r="M983" s="43">
        <v>1.82</v>
      </c>
      <c r="N983" s="43">
        <v>2.27</v>
      </c>
      <c r="O983" s="60">
        <v>100</v>
      </c>
      <c r="P983" s="119">
        <v>99.21875</v>
      </c>
      <c r="Q983" s="45">
        <f t="shared" si="179"/>
        <v>0</v>
      </c>
      <c r="R983" s="45" t="str">
        <f t="shared" si="180"/>
        <v>Không đạt</v>
      </c>
      <c r="S983" s="43"/>
      <c r="T983" s="86"/>
    </row>
    <row r="984" spans="1:20" s="117" customFormat="1" ht="18.75" hidden="1" x14ac:dyDescent="0.25">
      <c r="A984" s="87" t="s">
        <v>181</v>
      </c>
      <c r="B984" s="88"/>
      <c r="C984" s="88" t="s">
        <v>607</v>
      </c>
      <c r="D984" s="60">
        <f t="shared" si="181"/>
        <v>4.901960784313725</v>
      </c>
      <c r="E984" s="44">
        <v>1.9607843137254901</v>
      </c>
      <c r="F984" s="44">
        <v>2.9411764705882351</v>
      </c>
      <c r="G984" s="60">
        <v>100</v>
      </c>
      <c r="H984" s="60">
        <v>98.522167487684726</v>
      </c>
      <c r="I984" s="45">
        <f t="shared" si="182"/>
        <v>0</v>
      </c>
      <c r="J984" s="45" t="str">
        <f t="shared" si="183"/>
        <v>Không đạt</v>
      </c>
      <c r="K984" s="43"/>
      <c r="L984" s="61">
        <f t="shared" si="178"/>
        <v>4.9000000000000004</v>
      </c>
      <c r="M984" s="43">
        <v>1.96</v>
      </c>
      <c r="N984" s="43">
        <v>2.94</v>
      </c>
      <c r="O984" s="60">
        <v>100</v>
      </c>
      <c r="P984" s="119">
        <v>98.522167487684726</v>
      </c>
      <c r="Q984" s="45">
        <f t="shared" si="179"/>
        <v>0</v>
      </c>
      <c r="R984" s="45" t="str">
        <f t="shared" si="180"/>
        <v>Không đạt</v>
      </c>
      <c r="S984" s="43"/>
      <c r="T984" s="86"/>
    </row>
    <row r="985" spans="1:20" s="117" customFormat="1" ht="18.75" hidden="1" x14ac:dyDescent="0.25">
      <c r="A985" s="87" t="s">
        <v>182</v>
      </c>
      <c r="B985" s="88"/>
      <c r="C985" s="88" t="s">
        <v>608</v>
      </c>
      <c r="D985" s="60">
        <f t="shared" si="181"/>
        <v>4.7945205479452051</v>
      </c>
      <c r="E985" s="44">
        <v>1.3698630136986301</v>
      </c>
      <c r="F985" s="44">
        <v>3.4246575342465753</v>
      </c>
      <c r="G985" s="60">
        <v>100</v>
      </c>
      <c r="H985" s="60">
        <v>99.285714285714292</v>
      </c>
      <c r="I985" s="45">
        <f t="shared" si="182"/>
        <v>0</v>
      </c>
      <c r="J985" s="45" t="str">
        <f t="shared" si="183"/>
        <v>Không đạt</v>
      </c>
      <c r="K985" s="43"/>
      <c r="L985" s="61">
        <f t="shared" si="178"/>
        <v>4.79</v>
      </c>
      <c r="M985" s="43">
        <v>1.37</v>
      </c>
      <c r="N985" s="43">
        <v>3.42</v>
      </c>
      <c r="O985" s="60">
        <v>100</v>
      </c>
      <c r="P985" s="119">
        <v>99.285714285714292</v>
      </c>
      <c r="Q985" s="45">
        <f t="shared" si="179"/>
        <v>0</v>
      </c>
      <c r="R985" s="45" t="str">
        <f t="shared" si="180"/>
        <v>Không đạt</v>
      </c>
      <c r="S985" s="43"/>
      <c r="T985" s="86"/>
    </row>
    <row r="986" spans="1:20" s="117" customFormat="1" ht="18.75" hidden="1" x14ac:dyDescent="0.25">
      <c r="A986" s="87" t="s">
        <v>183</v>
      </c>
      <c r="B986" s="88"/>
      <c r="C986" s="88" t="s">
        <v>609</v>
      </c>
      <c r="D986" s="60">
        <f t="shared" si="181"/>
        <v>6</v>
      </c>
      <c r="E986" s="44">
        <v>2.666666666666667</v>
      </c>
      <c r="F986" s="44">
        <v>3.3333333333333335</v>
      </c>
      <c r="G986" s="60">
        <v>100</v>
      </c>
      <c r="H986" s="60">
        <v>96.551724137931032</v>
      </c>
      <c r="I986" s="45">
        <f t="shared" si="182"/>
        <v>0</v>
      </c>
      <c r="J986" s="45" t="str">
        <f t="shared" si="183"/>
        <v>Không đạt</v>
      </c>
      <c r="K986" s="43"/>
      <c r="L986" s="61">
        <f t="shared" si="178"/>
        <v>6</v>
      </c>
      <c r="M986" s="43">
        <v>2.67</v>
      </c>
      <c r="N986" s="43">
        <v>3.33</v>
      </c>
      <c r="O986" s="60">
        <v>100</v>
      </c>
      <c r="P986" s="119">
        <v>96.551724137931032</v>
      </c>
      <c r="Q986" s="45">
        <f t="shared" si="179"/>
        <v>0</v>
      </c>
      <c r="R986" s="45" t="str">
        <f t="shared" si="180"/>
        <v>Không đạt</v>
      </c>
      <c r="S986" s="43"/>
      <c r="T986" s="86"/>
    </row>
    <row r="987" spans="1:20" s="117" customFormat="1" ht="18.75" hidden="1" x14ac:dyDescent="0.25">
      <c r="A987" s="87" t="s">
        <v>184</v>
      </c>
      <c r="B987" s="88"/>
      <c r="C987" s="88" t="s">
        <v>610</v>
      </c>
      <c r="D987" s="60">
        <f t="shared" si="181"/>
        <v>4.6296296296296298</v>
      </c>
      <c r="E987" s="44">
        <v>2.7777777777777777</v>
      </c>
      <c r="F987" s="44">
        <v>1.8518518518518516</v>
      </c>
      <c r="G987" s="60">
        <v>100</v>
      </c>
      <c r="H987" s="60">
        <v>95.145631067961162</v>
      </c>
      <c r="I987" s="45">
        <f t="shared" si="182"/>
        <v>0</v>
      </c>
      <c r="J987" s="45" t="str">
        <f t="shared" si="183"/>
        <v>Không đạt</v>
      </c>
      <c r="K987" s="43"/>
      <c r="L987" s="61">
        <f t="shared" si="178"/>
        <v>4.63</v>
      </c>
      <c r="M987" s="43">
        <v>2.78</v>
      </c>
      <c r="N987" s="43">
        <v>1.85</v>
      </c>
      <c r="O987" s="60">
        <v>100</v>
      </c>
      <c r="P987" s="119">
        <v>95.145631067961162</v>
      </c>
      <c r="Q987" s="45">
        <f t="shared" si="179"/>
        <v>0</v>
      </c>
      <c r="R987" s="45" t="str">
        <f t="shared" si="180"/>
        <v>Không đạt</v>
      </c>
      <c r="S987" s="43"/>
      <c r="T987" s="86"/>
    </row>
    <row r="988" spans="1:20" s="117" customFormat="1" ht="18.75" hidden="1" x14ac:dyDescent="0.25">
      <c r="A988" s="87" t="s">
        <v>185</v>
      </c>
      <c r="B988" s="88"/>
      <c r="C988" s="88" t="s">
        <v>611</v>
      </c>
      <c r="D988" s="60">
        <f t="shared" si="181"/>
        <v>4.0909090909090908</v>
      </c>
      <c r="E988" s="44">
        <v>1.8181818181818181</v>
      </c>
      <c r="F988" s="44">
        <v>2.2727272727272729</v>
      </c>
      <c r="G988" s="60">
        <v>100</v>
      </c>
      <c r="H988" s="60">
        <v>99.555555555555557</v>
      </c>
      <c r="I988" s="45">
        <f t="shared" si="182"/>
        <v>0</v>
      </c>
      <c r="J988" s="45" t="str">
        <f t="shared" si="183"/>
        <v>Không đạt</v>
      </c>
      <c r="K988" s="43"/>
      <c r="L988" s="61">
        <f t="shared" si="178"/>
        <v>4.09</v>
      </c>
      <c r="M988" s="43">
        <v>1.82</v>
      </c>
      <c r="N988" s="43">
        <v>2.27</v>
      </c>
      <c r="O988" s="60">
        <v>100</v>
      </c>
      <c r="P988" s="119">
        <v>99.555555555555557</v>
      </c>
      <c r="Q988" s="45">
        <f t="shared" si="179"/>
        <v>0</v>
      </c>
      <c r="R988" s="45" t="str">
        <f t="shared" si="180"/>
        <v>Không đạt</v>
      </c>
      <c r="S988" s="43"/>
      <c r="T988" s="86"/>
    </row>
    <row r="989" spans="1:20" s="117" customFormat="1" ht="18.75" hidden="1" x14ac:dyDescent="0.25">
      <c r="A989" s="87" t="s">
        <v>186</v>
      </c>
      <c r="B989" s="88"/>
      <c r="C989" s="88" t="s">
        <v>612</v>
      </c>
      <c r="D989" s="60">
        <f t="shared" si="181"/>
        <v>3.8596491228070171</v>
      </c>
      <c r="E989" s="44">
        <v>2.807017543859649</v>
      </c>
      <c r="F989" s="44">
        <v>1.0526315789473684</v>
      </c>
      <c r="G989" s="60">
        <v>100</v>
      </c>
      <c r="H989" s="60">
        <v>100</v>
      </c>
      <c r="I989" s="45">
        <f t="shared" si="182"/>
        <v>0</v>
      </c>
      <c r="J989" s="45" t="str">
        <f t="shared" si="183"/>
        <v>Không đạt</v>
      </c>
      <c r="K989" s="43"/>
      <c r="L989" s="61">
        <f t="shared" si="178"/>
        <v>3.8600000000000003</v>
      </c>
      <c r="M989" s="43">
        <v>2.81</v>
      </c>
      <c r="N989" s="43">
        <v>1.05</v>
      </c>
      <c r="O989" s="60">
        <v>100</v>
      </c>
      <c r="P989" s="119">
        <v>100</v>
      </c>
      <c r="Q989" s="45">
        <f t="shared" si="179"/>
        <v>0</v>
      </c>
      <c r="R989" s="45" t="str">
        <f t="shared" si="180"/>
        <v>Không đạt</v>
      </c>
      <c r="S989" s="43"/>
      <c r="T989" s="86"/>
    </row>
    <row r="990" spans="1:20" s="117" customFormat="1" ht="18.75" hidden="1" x14ac:dyDescent="0.25">
      <c r="A990" s="87" t="s">
        <v>187</v>
      </c>
      <c r="B990" s="88"/>
      <c r="C990" s="88" t="s">
        <v>613</v>
      </c>
      <c r="D990" s="60">
        <f t="shared" si="181"/>
        <v>4.5045045045045047</v>
      </c>
      <c r="E990" s="44">
        <v>1.8018018018018018</v>
      </c>
      <c r="F990" s="44">
        <v>2.7027027027027026</v>
      </c>
      <c r="G990" s="60">
        <v>100</v>
      </c>
      <c r="H990" s="60">
        <v>96.15384615384616</v>
      </c>
      <c r="I990" s="45">
        <f t="shared" si="182"/>
        <v>0</v>
      </c>
      <c r="J990" s="45" t="str">
        <f t="shared" si="183"/>
        <v>Không đạt</v>
      </c>
      <c r="K990" s="43"/>
      <c r="L990" s="61">
        <f t="shared" si="178"/>
        <v>4.5</v>
      </c>
      <c r="M990" s="43">
        <v>1.8</v>
      </c>
      <c r="N990" s="43">
        <v>2.7</v>
      </c>
      <c r="O990" s="60">
        <v>100</v>
      </c>
      <c r="P990" s="119">
        <v>96.15384615384616</v>
      </c>
      <c r="Q990" s="45">
        <f t="shared" si="179"/>
        <v>0</v>
      </c>
      <c r="R990" s="45" t="str">
        <f t="shared" si="180"/>
        <v>Không đạt</v>
      </c>
      <c r="S990" s="43"/>
      <c r="T990" s="86"/>
    </row>
    <row r="991" spans="1:20" s="117" customFormat="1" ht="30" x14ac:dyDescent="0.25">
      <c r="A991" s="87" t="s">
        <v>188</v>
      </c>
      <c r="B991" s="88"/>
      <c r="C991" s="88" t="s">
        <v>614</v>
      </c>
      <c r="D991" s="60">
        <f t="shared" si="181"/>
        <v>4.1237113402061851</v>
      </c>
      <c r="E991" s="44">
        <v>3.0927835051546393</v>
      </c>
      <c r="F991" s="44">
        <v>1.0309278350515463</v>
      </c>
      <c r="G991" s="60">
        <v>59</v>
      </c>
      <c r="H991" s="60">
        <v>87.7</v>
      </c>
      <c r="I991" s="45">
        <f t="shared" si="182"/>
        <v>2</v>
      </c>
      <c r="J991" s="45" t="str">
        <f t="shared" si="183"/>
        <v>Đạt</v>
      </c>
      <c r="K991" s="43"/>
      <c r="L991" s="61">
        <f t="shared" si="178"/>
        <v>4.12</v>
      </c>
      <c r="M991" s="43">
        <v>3.09</v>
      </c>
      <c r="N991" s="43">
        <v>1.03</v>
      </c>
      <c r="O991" s="60">
        <v>59</v>
      </c>
      <c r="P991" s="119">
        <v>100</v>
      </c>
      <c r="Q991" s="45">
        <f t="shared" si="179"/>
        <v>1</v>
      </c>
      <c r="R991" s="45" t="str">
        <f t="shared" si="180"/>
        <v>Không đạt</v>
      </c>
      <c r="S991" s="43" t="s">
        <v>1185</v>
      </c>
      <c r="T991" s="86"/>
    </row>
    <row r="992" spans="1:20" s="117" customFormat="1" ht="30" x14ac:dyDescent="0.25">
      <c r="A992" s="87" t="s">
        <v>189</v>
      </c>
      <c r="B992" s="88"/>
      <c r="C992" s="88" t="s">
        <v>615</v>
      </c>
      <c r="D992" s="60">
        <f>E992+F992</f>
        <v>15.882352941176471</v>
      </c>
      <c r="E992" s="44">
        <v>6.4705882352941186</v>
      </c>
      <c r="F992" s="44">
        <v>9.4117647058823533</v>
      </c>
      <c r="G992" s="60">
        <v>58</v>
      </c>
      <c r="H992" s="60">
        <v>89</v>
      </c>
      <c r="I992" s="45">
        <f t="shared" si="182"/>
        <v>2</v>
      </c>
      <c r="J992" s="45" t="str">
        <f t="shared" si="183"/>
        <v>Đạt</v>
      </c>
      <c r="K992" s="43"/>
      <c r="L992" s="61">
        <f t="shared" si="178"/>
        <v>15.879999999999999</v>
      </c>
      <c r="M992" s="43">
        <v>6.47</v>
      </c>
      <c r="N992" s="43">
        <v>9.41</v>
      </c>
      <c r="O992" s="60">
        <v>58</v>
      </c>
      <c r="P992" s="119">
        <v>97.8</v>
      </c>
      <c r="Q992" s="45">
        <f t="shared" si="179"/>
        <v>1</v>
      </c>
      <c r="R992" s="45" t="str">
        <f t="shared" si="180"/>
        <v>Không đạt</v>
      </c>
      <c r="S992" s="43" t="s">
        <v>1185</v>
      </c>
      <c r="T992" s="86"/>
    </row>
  </sheetData>
  <mergeCells count="22">
    <mergeCell ref="D3:J3"/>
    <mergeCell ref="L3:R3"/>
    <mergeCell ref="D4:H4"/>
    <mergeCell ref="I4:I6"/>
    <mergeCell ref="J4:J6"/>
    <mergeCell ref="P5:P6"/>
    <mergeCell ref="S3:S6"/>
    <mergeCell ref="A1:S1"/>
    <mergeCell ref="L4:P4"/>
    <mergeCell ref="Q4:Q6"/>
    <mergeCell ref="R4:R6"/>
    <mergeCell ref="D5:D6"/>
    <mergeCell ref="E5:F5"/>
    <mergeCell ref="G5:G6"/>
    <mergeCell ref="H5:H6"/>
    <mergeCell ref="L5:L6"/>
    <mergeCell ref="M5:N5"/>
    <mergeCell ref="O5:O6"/>
    <mergeCell ref="A2:R2"/>
    <mergeCell ref="A3:A6"/>
    <mergeCell ref="B3:B6"/>
    <mergeCell ref="C3:C6"/>
  </mergeCells>
  <pageMargins left="0.39" right="0.2" top="0.48" bottom="0.25" header="0.56999999999999995" footer="0.3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1B49B-E621-4517-9D64-11C98544E468}">
  <dimension ref="A1:AM113"/>
  <sheetViews>
    <sheetView showGridLines="0" topLeftCell="R1" zoomScale="90" zoomScaleNormal="90" workbookViewId="0">
      <pane ySplit="6" topLeftCell="A7" activePane="bottomLeft" state="frozen"/>
      <selection pane="bottomLeft" activeCell="P100" sqref="P100"/>
    </sheetView>
  </sheetViews>
  <sheetFormatPr defaultColWidth="9" defaultRowHeight="15" x14ac:dyDescent="0.25"/>
  <cols>
    <col min="1" max="1" width="6" style="37" customWidth="1"/>
    <col min="2" max="2" width="21.25" style="31" customWidth="1"/>
    <col min="3" max="4" width="5.25" style="31" customWidth="1"/>
    <col min="5" max="5" width="5.25" style="46" customWidth="1"/>
    <col min="6" max="6" width="5.25" style="31" customWidth="1"/>
    <col min="7" max="7" width="6.5" style="31" customWidth="1"/>
    <col min="8" max="8" width="5.25" style="31" customWidth="1"/>
    <col min="9" max="9" width="12" style="31" customWidth="1"/>
    <col min="10" max="10" width="5.25" style="31" customWidth="1"/>
    <col min="11" max="11" width="11.5" style="38" customWidth="1"/>
    <col min="12" max="12" width="5.25" style="31" customWidth="1"/>
    <col min="13" max="13" width="10.875" style="31" customWidth="1"/>
    <col min="14" max="15" width="5.25" style="31" customWidth="1"/>
    <col min="16" max="16" width="9.875" style="31" customWidth="1"/>
    <col min="17" max="17" width="10.125" style="31" customWidth="1"/>
    <col min="18" max="18" width="9" style="31" customWidth="1"/>
    <col min="19" max="22" width="7.625" style="148" customWidth="1"/>
    <col min="23" max="24" width="9" style="148" customWidth="1"/>
    <col min="25" max="25" width="14.25" style="148" customWidth="1"/>
    <col min="26" max="26" width="6.125" style="148" customWidth="1"/>
    <col min="27" max="27" width="11.25" style="148" customWidth="1"/>
    <col min="28" max="28" width="7" style="148" customWidth="1"/>
    <col min="29" max="29" width="9" style="148" customWidth="1"/>
    <col min="30" max="31" width="7.375" style="148" customWidth="1"/>
    <col min="32" max="34" width="9" style="31" customWidth="1"/>
    <col min="35" max="35" width="7.75" style="31" customWidth="1"/>
    <col min="36" max="16384" width="9" style="31"/>
  </cols>
  <sheetData>
    <row r="1" spans="1:39" x14ac:dyDescent="0.25">
      <c r="A1" s="208"/>
      <c r="B1" s="208"/>
      <c r="C1" s="208"/>
      <c r="D1" s="208"/>
      <c r="E1" s="208"/>
      <c r="F1" s="32"/>
      <c r="G1" s="32"/>
      <c r="H1" s="32"/>
      <c r="I1" s="25"/>
      <c r="J1" s="25"/>
      <c r="K1" s="33"/>
      <c r="L1" s="25"/>
      <c r="M1" s="25"/>
      <c r="N1" s="25"/>
      <c r="O1" s="25"/>
      <c r="P1" s="25"/>
      <c r="Q1" s="25"/>
      <c r="R1" s="25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25"/>
      <c r="AG1" s="34" t="s">
        <v>47</v>
      </c>
      <c r="AH1" s="25"/>
      <c r="AI1" s="25"/>
    </row>
    <row r="2" spans="1:39" x14ac:dyDescent="0.25">
      <c r="A2" s="210" t="s">
        <v>1182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</row>
    <row r="3" spans="1:39" x14ac:dyDescent="0.25">
      <c r="A3" s="218" t="s">
        <v>0</v>
      </c>
      <c r="B3" s="218" t="s">
        <v>10</v>
      </c>
      <c r="C3" s="209" t="s">
        <v>1137</v>
      </c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11" t="s">
        <v>1140</v>
      </c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 t="s">
        <v>1138</v>
      </c>
    </row>
    <row r="4" spans="1:39" x14ac:dyDescent="0.25">
      <c r="A4" s="219"/>
      <c r="B4" s="219"/>
      <c r="C4" s="209" t="s">
        <v>18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 t="s">
        <v>24</v>
      </c>
      <c r="Q4" s="209" t="s">
        <v>25</v>
      </c>
      <c r="R4" s="209"/>
      <c r="S4" s="212" t="s">
        <v>18</v>
      </c>
      <c r="T4" s="212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1" t="s">
        <v>24</v>
      </c>
      <c r="AG4" s="211" t="s">
        <v>25</v>
      </c>
      <c r="AH4" s="211"/>
      <c r="AI4" s="211"/>
    </row>
    <row r="5" spans="1:39" x14ac:dyDescent="0.25">
      <c r="A5" s="219"/>
      <c r="B5" s="219"/>
      <c r="C5" s="209">
        <v>1</v>
      </c>
      <c r="D5" s="209">
        <v>2</v>
      </c>
      <c r="E5" s="215">
        <v>3</v>
      </c>
      <c r="F5" s="209">
        <v>4</v>
      </c>
      <c r="G5" s="209">
        <v>5</v>
      </c>
      <c r="H5" s="209"/>
      <c r="I5" s="209">
        <v>6</v>
      </c>
      <c r="J5" s="209">
        <v>7</v>
      </c>
      <c r="K5" s="209">
        <v>8</v>
      </c>
      <c r="L5" s="209">
        <v>9</v>
      </c>
      <c r="M5" s="209">
        <v>10</v>
      </c>
      <c r="N5" s="209">
        <v>11</v>
      </c>
      <c r="O5" s="209">
        <v>12</v>
      </c>
      <c r="P5" s="209"/>
      <c r="Q5" s="209" t="s">
        <v>26</v>
      </c>
      <c r="R5" s="209" t="s">
        <v>27</v>
      </c>
      <c r="S5" s="212">
        <v>1</v>
      </c>
      <c r="T5" s="212">
        <v>2</v>
      </c>
      <c r="U5" s="212">
        <v>3</v>
      </c>
      <c r="V5" s="212">
        <v>4</v>
      </c>
      <c r="W5" s="212">
        <v>5</v>
      </c>
      <c r="X5" s="212"/>
      <c r="Y5" s="212" t="s">
        <v>1180</v>
      </c>
      <c r="Z5" s="212">
        <v>7</v>
      </c>
      <c r="AA5" s="212">
        <v>8</v>
      </c>
      <c r="AB5" s="212">
        <v>9</v>
      </c>
      <c r="AC5" s="212">
        <v>10</v>
      </c>
      <c r="AD5" s="212">
        <v>11</v>
      </c>
      <c r="AE5" s="212" t="s">
        <v>1181</v>
      </c>
      <c r="AF5" s="211"/>
      <c r="AG5" s="211" t="s">
        <v>26</v>
      </c>
      <c r="AH5" s="211" t="s">
        <v>27</v>
      </c>
      <c r="AI5" s="211"/>
    </row>
    <row r="6" spans="1:39" x14ac:dyDescent="0.25">
      <c r="A6" s="220"/>
      <c r="B6" s="220"/>
      <c r="C6" s="209"/>
      <c r="D6" s="209"/>
      <c r="E6" s="215"/>
      <c r="F6" s="209"/>
      <c r="G6" s="35" t="s">
        <v>28</v>
      </c>
      <c r="H6" s="35" t="s">
        <v>29</v>
      </c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12"/>
      <c r="T6" s="212"/>
      <c r="U6" s="212"/>
      <c r="V6" s="212"/>
      <c r="W6" s="39" t="s">
        <v>28</v>
      </c>
      <c r="X6" s="39" t="s">
        <v>29</v>
      </c>
      <c r="Y6" s="212"/>
      <c r="Z6" s="212"/>
      <c r="AA6" s="212"/>
      <c r="AB6" s="212"/>
      <c r="AC6" s="212"/>
      <c r="AD6" s="212"/>
      <c r="AE6" s="212"/>
      <c r="AF6" s="211"/>
      <c r="AG6" s="211"/>
      <c r="AH6" s="211"/>
      <c r="AI6" s="211"/>
    </row>
    <row r="7" spans="1:39" ht="30" x14ac:dyDescent="0.25">
      <c r="A7" s="27">
        <v>1</v>
      </c>
      <c r="B7" s="2" t="s">
        <v>48</v>
      </c>
      <c r="C7" s="4">
        <v>29</v>
      </c>
      <c r="D7" s="4">
        <v>42.86</v>
      </c>
      <c r="E7" s="17">
        <v>78</v>
      </c>
      <c r="F7" s="4">
        <v>0</v>
      </c>
      <c r="G7" s="4">
        <v>50.55</v>
      </c>
      <c r="H7" s="4">
        <v>28.85</v>
      </c>
      <c r="I7" s="4" t="s">
        <v>208</v>
      </c>
      <c r="J7" s="4">
        <v>40</v>
      </c>
      <c r="K7" s="28" t="s">
        <v>1179</v>
      </c>
      <c r="L7" s="4">
        <v>100</v>
      </c>
      <c r="M7" s="4" t="s">
        <v>223</v>
      </c>
      <c r="N7" s="4">
        <v>77</v>
      </c>
      <c r="O7" s="4">
        <v>84</v>
      </c>
      <c r="P7" s="29">
        <f>SUM((IF(C7&lt;32.4,1,0))+(IF(D7&gt;=8.12,1,0))+(IF(E7&lt;95,1,0))+(IF(F7&lt;30,1,0))+IF(OR(G7&lt;80,H7&gt;50),1,0)
+(IF(I7="Chưa đạt chuẩn",1,0))+(IF(J7&lt;50,1,0))+(IF(OR( IFERROR(--TRIM(MID(K7, FIND("Nội trú:", K7)+8, FIND(";",K7&amp;";", FIND("Nội trú:", K7))-FIND("Nội trú:", K7)-8))&gt;=20, FALSE), IFERROR(--TRIM(MID(K7, FIND("Bán trú:", K7)+8, FIND(";", K7&amp;";", FIND("Bán trú:", K7))-FIND("Bán trú:",K7)-8))&gt;=40, FALSE)), 1, 0))+(IF(L7&lt;50,1,0))+IF(OR(M7="chưa có",M7="có nhưng chưa đạt chuẩn"),1,0)+(IF(N7&lt;95,1,0))+(IF(O7&lt;50,1,0)))</f>
        <v>10</v>
      </c>
      <c r="Q7" s="30">
        <f>8/13*100</f>
        <v>61.53846153846154</v>
      </c>
      <c r="R7" s="4" t="str">
        <f>IF(P7&lt;3,"I",IF(AND(P7&gt;=3,P7&lt;=5,NOT(OR(P7&gt;=6,AND(P7&gt;=3,Q7&gt;=50)))),"II","III"))</f>
        <v>III</v>
      </c>
      <c r="S7" s="145">
        <v>29</v>
      </c>
      <c r="T7" s="149">
        <v>42.82</v>
      </c>
      <c r="U7" s="149">
        <v>79.789719626168221</v>
      </c>
      <c r="V7" s="145">
        <v>1.9</v>
      </c>
      <c r="W7" s="145">
        <v>50.6</v>
      </c>
      <c r="X7" s="145">
        <v>28.9</v>
      </c>
      <c r="Y7" s="145" t="s">
        <v>208</v>
      </c>
      <c r="Z7" s="150">
        <v>40</v>
      </c>
      <c r="AA7" s="145" t="s">
        <v>1214</v>
      </c>
      <c r="AB7" s="145">
        <v>100</v>
      </c>
      <c r="AC7" s="145" t="s">
        <v>223</v>
      </c>
      <c r="AD7" s="145">
        <v>77</v>
      </c>
      <c r="AE7" s="145">
        <v>69.849999999999994</v>
      </c>
      <c r="AF7" s="59">
        <f>SUM((IF(S7&lt;32.4,1,0))+(IF(T7&gt;=8.12,1,0))+(IF(U7&lt;95,1,0))+(IF(V7&lt;30,1,0))+IF(OR(W7&lt;80,X7&gt;50),1,0)
+(IF(Y7="Chưa đạt chuẩn",1,0))+(IF(Z7&lt;50,1,0))+(IF(OR( IFERROR(--TRIM(MID(AA7, FIND("Nội trú:", AA7)+8, FIND(";",AA7&amp;";", FIND("Nội trú:", AA7))-FIND("Nội trú:", AA7)-8))&lt;80, FALSE), IFERROR(--TRIM(MID(AA7, FIND("Bán trú:", AA7)+8, FIND(";", AA7&amp;";", FIND("Bán trú:", AA7))-FIND("Bán trú:",AA7)-8))&lt;60, FALSE)), 1, 0))+(IF(AB7&lt;50,1,0))+IF(OR(AC7="chưa có",AC7="có nhưng chưa đạt chuẩn"),1,0)+(IF(AD7&lt;95,1,0))+(IF(AE7&lt;50,1,0)))</f>
        <v>10</v>
      </c>
      <c r="AG7" s="30">
        <f>8/13*100</f>
        <v>61.53846153846154</v>
      </c>
      <c r="AH7" s="4" t="str">
        <f>IF(AF7&lt;3,"I",IF(AND(AF7&gt;=3,AF7&lt;=5,NOT(OR(AF7&gt;=6,AND(AF7&gt;=3,AG7&gt;=50)))),"II","III"))</f>
        <v>III</v>
      </c>
      <c r="AI7" s="24"/>
      <c r="AJ7" s="47"/>
      <c r="AK7" s="31">
        <f t="shared" ref="AK7:AK38" si="0">F7-V7</f>
        <v>-1.9</v>
      </c>
      <c r="AL7" s="31">
        <f t="shared" ref="AL7:AL48" si="1">L7-AB7</f>
        <v>0</v>
      </c>
      <c r="AM7" s="31" t="e">
        <f>P7-#REF!</f>
        <v>#REF!</v>
      </c>
    </row>
    <row r="8" spans="1:39" ht="45" x14ac:dyDescent="0.25">
      <c r="A8" s="27">
        <v>2</v>
      </c>
      <c r="B8" s="2" t="s">
        <v>49</v>
      </c>
      <c r="C8" s="4">
        <v>23.8</v>
      </c>
      <c r="D8" s="4">
        <v>27.32</v>
      </c>
      <c r="E8" s="17">
        <v>79.400000000000006</v>
      </c>
      <c r="F8" s="4">
        <v>14.9</v>
      </c>
      <c r="G8" s="4">
        <v>62.789791699793298</v>
      </c>
      <c r="H8" s="4">
        <v>6.2490062013038639</v>
      </c>
      <c r="I8" s="4" t="s">
        <v>208</v>
      </c>
      <c r="J8" s="4">
        <v>66.7</v>
      </c>
      <c r="K8" s="36" t="s">
        <v>314</v>
      </c>
      <c r="L8" s="4">
        <v>26.1</v>
      </c>
      <c r="M8" s="4" t="s">
        <v>209</v>
      </c>
      <c r="N8" s="4">
        <v>90.9</v>
      </c>
      <c r="O8" s="4">
        <v>87.4</v>
      </c>
      <c r="P8" s="29">
        <f>SUM((IF(C8&lt;32.4,1,0))+(IF(D8&gt;=8.12,1,0))+(IF(E8&lt;95,1,0))+(IF(F8&lt;30,1,0))+IF(OR(G8&lt;80,H8&gt;50),1,0)
+(IF(I8="Chưa đạt chuẩn",1,0))+(IF(J8&lt;50,1,0))+(IF(OR( IFERROR(--TRIM(MID(K8, FIND("Nội trú:", K8)+8, FIND(";",K8&amp;";", FIND("Nội trú:", K8))-FIND("Nội trú:", K8)-8))&gt;=20, FALSE), IFERROR(--TRIM(MID(K8, FIND("Bán trú:", K8)+8, FIND(";", K8&amp;";", FIND("Bán trú:", K8))-FIND("Bán trú:",K8)-8))&gt;=40, FALSE)), 1, 0))+(IF(L8&lt;50,1,0))+IF(OR(M8="chưa có",M8="có nhưng chưa đạt chuẩn"),1,0)+(IF(N8&lt;95,1,0))+(IF(O8&lt;50,1,0)))</f>
        <v>10</v>
      </c>
      <c r="Q8" s="30">
        <f>17/22*100</f>
        <v>77.272727272727266</v>
      </c>
      <c r="R8" s="4" t="str">
        <f>IF(P8&lt;3,"I",IF(AND(P8&gt;=3,P8&lt;=5,NOT(OR(P8&gt;=6,AND(P8&gt;=3,Q8&gt;=50)))),"II","III"))</f>
        <v>III</v>
      </c>
      <c r="S8" s="145">
        <v>23.8</v>
      </c>
      <c r="T8" s="149">
        <v>27.32</v>
      </c>
      <c r="U8" s="149">
        <v>79.409131602506719</v>
      </c>
      <c r="V8" s="145">
        <v>10.6</v>
      </c>
      <c r="W8" s="145">
        <v>100</v>
      </c>
      <c r="X8" s="145">
        <v>0</v>
      </c>
      <c r="Y8" s="145" t="s">
        <v>208</v>
      </c>
      <c r="Z8" s="150">
        <v>66.7</v>
      </c>
      <c r="AA8" s="145" t="s">
        <v>1215</v>
      </c>
      <c r="AB8" s="145">
        <v>26.1</v>
      </c>
      <c r="AC8" s="145" t="s">
        <v>208</v>
      </c>
      <c r="AD8" s="145">
        <v>90.9</v>
      </c>
      <c r="AE8" s="145">
        <v>83.7</v>
      </c>
      <c r="AF8" s="59">
        <f t="shared" ref="AF8:AF71" si="2">SUM((IF(S8&lt;32.4,1,0))+(IF(T8&gt;=8.12,1,0))+(IF(U8&lt;95,1,0))+(IF(V8&lt;30,1,0))+IF(OR(W8&lt;80,X8&gt;50),1,0)
+(IF(Y8="Chưa đạt chuẩn",1,0))+(IF(Z8&lt;50,1,0))+(IF(OR( IFERROR(--TRIM(MID(AA8, FIND("Nội trú:", AA8)+8, FIND(";",AA8&amp;";", FIND("Nội trú:", AA8))-FIND("Nội trú:", AA8)-8))&lt;80, FALSE), IFERROR(--TRIM(MID(AA8, FIND("Bán trú:", AA8)+8, FIND(";", AA8&amp;";", FIND("Bán trú:", AA8))-FIND("Bán trú:",AA8)-8))&lt;60, FALSE)), 1, 0))+(IF(AB8&lt;50,1,0))+IF(OR(AC8="chưa có",AC8="có nhưng chưa đạt chuẩn"),1,0)+(IF(AD8&lt;95,1,0))+(IF(AE8&lt;50,1,0)))</f>
        <v>8</v>
      </c>
      <c r="AG8" s="30">
        <f>17/22*100</f>
        <v>77.272727272727266</v>
      </c>
      <c r="AH8" s="4" t="str">
        <f t="shared" ref="AH8:AH71" si="3">IF(AF8&lt;3,"I",IF(AND(AF8&gt;=3,AF8&lt;=5,NOT(OR(AF8&gt;=6,AND(AF8&gt;=3,AG8&gt;=50)))),"II","III"))</f>
        <v>III</v>
      </c>
      <c r="AI8" s="24"/>
      <c r="AJ8" s="47"/>
      <c r="AK8" s="31">
        <f t="shared" si="0"/>
        <v>4.3000000000000007</v>
      </c>
      <c r="AL8" s="31">
        <f t="shared" si="1"/>
        <v>0</v>
      </c>
      <c r="AM8" s="31" t="e">
        <f>P8-#REF!</f>
        <v>#REF!</v>
      </c>
    </row>
    <row r="9" spans="1:39" ht="30" x14ac:dyDescent="0.25">
      <c r="A9" s="27">
        <v>3</v>
      </c>
      <c r="B9" s="2" t="s">
        <v>50</v>
      </c>
      <c r="C9" s="4">
        <v>27.5</v>
      </c>
      <c r="D9" s="4">
        <v>20.7</v>
      </c>
      <c r="E9" s="17">
        <v>83.4</v>
      </c>
      <c r="F9" s="4">
        <v>8</v>
      </c>
      <c r="G9" s="4">
        <v>40.5</v>
      </c>
      <c r="H9" s="4">
        <v>0</v>
      </c>
      <c r="I9" s="4" t="s">
        <v>263</v>
      </c>
      <c r="J9" s="4">
        <v>25</v>
      </c>
      <c r="K9" s="36" t="s">
        <v>433</v>
      </c>
      <c r="L9" s="4">
        <v>45</v>
      </c>
      <c r="M9" s="4" t="s">
        <v>223</v>
      </c>
      <c r="N9" s="4">
        <v>84</v>
      </c>
      <c r="O9" s="4">
        <v>49</v>
      </c>
      <c r="P9" s="29">
        <f t="shared" ref="P9:P12" si="4">SUM((IF(C9&lt;32.4,1,0))+(IF(D9&gt;=8.12,1,0))+(IF(E9&lt;95,1,0))+(IF(F9&lt;30,1,0))+IF(OR(G9&lt;80,H9&gt;50),1,0)
+(IF(I9="Chưa đạt chuẩn",1,0))+(IF(J9&lt;50,1,0))+(IF(OR( IFERROR(--TRIM(MID(K9, FIND("Nội trú:", K9)+8, FIND(";",K9&amp;";", FIND("Nội trú:", K9))-FIND("Nội trú:", K9)-8))&gt;=20, FALSE), IFERROR(--TRIM(MID(K9, FIND("Bán trú:", K9)+8, FIND(";", K9&amp;";", FIND("Bán trú:", K9))-FIND("Bán trú:",K9)-8))&gt;=40, FALSE)), 1, 0))+(IF(L9&lt;50,1,0))+IF(OR(M9="chưa có",M9="có nhưng chưa đạt chuẩn"),1,0)+(IF(N9&lt;95,1,0))+(IF(O9&lt;50,1,0)))</f>
        <v>11</v>
      </c>
      <c r="Q9" s="30">
        <f>24/25*100</f>
        <v>96</v>
      </c>
      <c r="R9" s="4" t="str">
        <f t="shared" ref="R9:R71" si="5">IF(P9&lt;3,"I",IF(AND(P9&gt;=3,P9&lt;=5,NOT(OR(P9&gt;=6,AND(P9&gt;=3,Q9&gt;=50)))),"II","III"))</f>
        <v>III</v>
      </c>
      <c r="S9" s="145">
        <v>27.3</v>
      </c>
      <c r="T9" s="149">
        <v>20.67</v>
      </c>
      <c r="U9" s="149">
        <v>84.412007711374272</v>
      </c>
      <c r="V9" s="145">
        <v>7.5</v>
      </c>
      <c r="W9" s="145">
        <v>100</v>
      </c>
      <c r="X9" s="145">
        <v>0</v>
      </c>
      <c r="Y9" s="145" t="s">
        <v>263</v>
      </c>
      <c r="Z9" s="150">
        <v>70</v>
      </c>
      <c r="AA9" s="145" t="s">
        <v>1263</v>
      </c>
      <c r="AB9" s="145">
        <v>45</v>
      </c>
      <c r="AC9" s="145" t="s">
        <v>208</v>
      </c>
      <c r="AD9" s="145">
        <v>84</v>
      </c>
      <c r="AE9" s="145">
        <v>70.150000000000006</v>
      </c>
      <c r="AF9" s="59">
        <f t="shared" si="2"/>
        <v>7</v>
      </c>
      <c r="AG9" s="30">
        <f>24/25*100</f>
        <v>96</v>
      </c>
      <c r="AH9" s="4" t="str">
        <f t="shared" si="3"/>
        <v>III</v>
      </c>
      <c r="AI9" s="24"/>
      <c r="AJ9" s="47"/>
      <c r="AK9" s="31">
        <f t="shared" si="0"/>
        <v>0.5</v>
      </c>
      <c r="AL9" s="31">
        <f t="shared" si="1"/>
        <v>0</v>
      </c>
      <c r="AM9" s="31" t="e">
        <f>P9-#REF!</f>
        <v>#REF!</v>
      </c>
    </row>
    <row r="10" spans="1:39" ht="30" x14ac:dyDescent="0.25">
      <c r="A10" s="27">
        <v>4</v>
      </c>
      <c r="B10" s="2" t="s">
        <v>51</v>
      </c>
      <c r="C10" s="4">
        <v>33.799999999999997</v>
      </c>
      <c r="D10" s="4">
        <v>40.36</v>
      </c>
      <c r="E10" s="17">
        <v>40.57</v>
      </c>
      <c r="F10" s="4">
        <v>0</v>
      </c>
      <c r="G10" s="4">
        <v>100</v>
      </c>
      <c r="H10" s="4">
        <v>0</v>
      </c>
      <c r="I10" s="4" t="s">
        <v>208</v>
      </c>
      <c r="J10" s="4">
        <v>35</v>
      </c>
      <c r="K10" s="36" t="s">
        <v>352</v>
      </c>
      <c r="L10" s="4">
        <v>11.2</v>
      </c>
      <c r="M10" s="4" t="s">
        <v>223</v>
      </c>
      <c r="N10" s="4">
        <v>100</v>
      </c>
      <c r="O10" s="4">
        <v>73.83</v>
      </c>
      <c r="P10" s="29">
        <f t="shared" si="4"/>
        <v>8</v>
      </c>
      <c r="Q10" s="30">
        <f>4/6*100</f>
        <v>66.666666666666657</v>
      </c>
      <c r="R10" s="4" t="str">
        <f t="shared" si="5"/>
        <v>III</v>
      </c>
      <c r="S10" s="145">
        <v>33.799999999999997</v>
      </c>
      <c r="T10" s="149">
        <v>40.365111561866129</v>
      </c>
      <c r="U10" s="149">
        <v>40.56795131845842</v>
      </c>
      <c r="V10" s="145">
        <v>1.3</v>
      </c>
      <c r="W10" s="145">
        <v>100</v>
      </c>
      <c r="X10" s="145">
        <v>0</v>
      </c>
      <c r="Y10" s="145" t="s">
        <v>208</v>
      </c>
      <c r="Z10" s="150">
        <v>0</v>
      </c>
      <c r="AA10" s="145" t="s">
        <v>1216</v>
      </c>
      <c r="AB10" s="145">
        <v>11.2</v>
      </c>
      <c r="AC10" s="145" t="s">
        <v>223</v>
      </c>
      <c r="AD10" s="145">
        <v>33</v>
      </c>
      <c r="AE10" s="145">
        <v>69.819999999999993</v>
      </c>
      <c r="AF10" s="59">
        <f t="shared" si="2"/>
        <v>9</v>
      </c>
      <c r="AG10" s="30">
        <f>4/6*100</f>
        <v>66.666666666666657</v>
      </c>
      <c r="AH10" s="4" t="str">
        <f t="shared" si="3"/>
        <v>III</v>
      </c>
      <c r="AI10" s="24"/>
      <c r="AJ10" s="47"/>
      <c r="AK10" s="31">
        <f t="shared" si="0"/>
        <v>-1.3</v>
      </c>
      <c r="AL10" s="31">
        <f t="shared" si="1"/>
        <v>0</v>
      </c>
      <c r="AM10" s="31" t="e">
        <f>P10-#REF!</f>
        <v>#REF!</v>
      </c>
    </row>
    <row r="11" spans="1:39" ht="30" x14ac:dyDescent="0.25">
      <c r="A11" s="27">
        <v>5</v>
      </c>
      <c r="B11" s="2" t="s">
        <v>52</v>
      </c>
      <c r="C11" s="4">
        <v>29.4</v>
      </c>
      <c r="D11" s="4">
        <v>34.26</v>
      </c>
      <c r="E11" s="17">
        <v>49.7</v>
      </c>
      <c r="F11" s="4">
        <v>0</v>
      </c>
      <c r="G11" s="4">
        <v>52.6</v>
      </c>
      <c r="H11" s="4">
        <v>0</v>
      </c>
      <c r="I11" s="4" t="s">
        <v>208</v>
      </c>
      <c r="J11" s="4">
        <v>0</v>
      </c>
      <c r="K11" s="36" t="s">
        <v>350</v>
      </c>
      <c r="L11" s="4">
        <v>100</v>
      </c>
      <c r="M11" s="4" t="s">
        <v>223</v>
      </c>
      <c r="N11" s="4">
        <v>70</v>
      </c>
      <c r="O11" s="4">
        <v>56</v>
      </c>
      <c r="P11" s="29">
        <f t="shared" si="4"/>
        <v>10</v>
      </c>
      <c r="Q11" s="30">
        <f>12/14*100</f>
        <v>85.714285714285708</v>
      </c>
      <c r="R11" s="4" t="str">
        <f t="shared" si="5"/>
        <v>III</v>
      </c>
      <c r="S11" s="145">
        <v>29.3</v>
      </c>
      <c r="T11" s="149">
        <v>34.258210645526617</v>
      </c>
      <c r="U11" s="149">
        <v>74.269662921348313</v>
      </c>
      <c r="V11" s="145">
        <v>0.7</v>
      </c>
      <c r="W11" s="145">
        <v>52.6</v>
      </c>
      <c r="X11" s="145">
        <v>0</v>
      </c>
      <c r="Y11" s="145" t="s">
        <v>208</v>
      </c>
      <c r="Z11" s="150">
        <v>0</v>
      </c>
      <c r="AA11" s="145" t="s">
        <v>1217</v>
      </c>
      <c r="AB11" s="145">
        <v>100</v>
      </c>
      <c r="AC11" s="145" t="s">
        <v>208</v>
      </c>
      <c r="AD11" s="145">
        <v>71.400000000000006</v>
      </c>
      <c r="AE11" s="145">
        <v>54.8</v>
      </c>
      <c r="AF11" s="59">
        <f t="shared" si="2"/>
        <v>9</v>
      </c>
      <c r="AG11" s="30">
        <f>12/14*100</f>
        <v>85.714285714285708</v>
      </c>
      <c r="AH11" s="4" t="str">
        <f t="shared" si="3"/>
        <v>III</v>
      </c>
      <c r="AI11" s="24"/>
      <c r="AJ11" s="47"/>
      <c r="AK11" s="31">
        <f t="shared" si="0"/>
        <v>-0.7</v>
      </c>
      <c r="AL11" s="31">
        <f t="shared" si="1"/>
        <v>0</v>
      </c>
      <c r="AM11" s="31" t="e">
        <f>P11-#REF!</f>
        <v>#REF!</v>
      </c>
    </row>
    <row r="12" spans="1:39" ht="30" x14ac:dyDescent="0.25">
      <c r="A12" s="27">
        <v>6</v>
      </c>
      <c r="B12" s="2" t="s">
        <v>53</v>
      </c>
      <c r="C12" s="4">
        <v>24</v>
      </c>
      <c r="D12" s="4">
        <v>55.67</v>
      </c>
      <c r="E12" s="17">
        <v>62.36</v>
      </c>
      <c r="F12" s="4">
        <v>0</v>
      </c>
      <c r="G12" s="4">
        <v>23.5</v>
      </c>
      <c r="H12" s="4">
        <v>100</v>
      </c>
      <c r="I12" s="4" t="s">
        <v>208</v>
      </c>
      <c r="J12" s="4">
        <v>25</v>
      </c>
      <c r="K12" s="36" t="s">
        <v>434</v>
      </c>
      <c r="L12" s="4">
        <v>95.2</v>
      </c>
      <c r="M12" s="4" t="s">
        <v>223</v>
      </c>
      <c r="N12" s="4">
        <v>63.63</v>
      </c>
      <c r="O12" s="4">
        <v>52.2</v>
      </c>
      <c r="P12" s="29">
        <f t="shared" si="4"/>
        <v>10</v>
      </c>
      <c r="Q12" s="30">
        <f>9/11*100</f>
        <v>81.818181818181827</v>
      </c>
      <c r="R12" s="4" t="str">
        <f t="shared" si="5"/>
        <v>III</v>
      </c>
      <c r="S12" s="145">
        <v>24</v>
      </c>
      <c r="T12" s="149">
        <v>55.67</v>
      </c>
      <c r="U12" s="149">
        <v>74.759479343520084</v>
      </c>
      <c r="V12" s="145">
        <v>0.9</v>
      </c>
      <c r="W12" s="145">
        <v>100</v>
      </c>
      <c r="X12" s="145">
        <v>0</v>
      </c>
      <c r="Y12" s="145" t="s">
        <v>208</v>
      </c>
      <c r="Z12" s="150">
        <v>25</v>
      </c>
      <c r="AA12" s="145" t="s">
        <v>1218</v>
      </c>
      <c r="AB12" s="145">
        <v>95.2</v>
      </c>
      <c r="AC12" s="145" t="s">
        <v>223</v>
      </c>
      <c r="AD12" s="145">
        <v>63.6</v>
      </c>
      <c r="AE12" s="145">
        <v>53.06</v>
      </c>
      <c r="AF12" s="59">
        <f t="shared" si="2"/>
        <v>9</v>
      </c>
      <c r="AG12" s="30">
        <f>9/11*100</f>
        <v>81.818181818181827</v>
      </c>
      <c r="AH12" s="4" t="str">
        <f t="shared" si="3"/>
        <v>III</v>
      </c>
      <c r="AI12" s="24"/>
      <c r="AJ12" s="47"/>
      <c r="AK12" s="31">
        <f t="shared" si="0"/>
        <v>-0.9</v>
      </c>
      <c r="AL12" s="31">
        <f t="shared" si="1"/>
        <v>0</v>
      </c>
      <c r="AM12" s="31" t="e">
        <f>P12-#REF!</f>
        <v>#REF!</v>
      </c>
    </row>
    <row r="13" spans="1:39" ht="30" x14ac:dyDescent="0.25">
      <c r="A13" s="27">
        <v>7</v>
      </c>
      <c r="B13" s="2" t="s">
        <v>54</v>
      </c>
      <c r="C13" s="4">
        <v>28</v>
      </c>
      <c r="D13" s="4">
        <v>53.8</v>
      </c>
      <c r="E13" s="17">
        <v>81.5</v>
      </c>
      <c r="F13" s="4">
        <v>10.8</v>
      </c>
      <c r="G13" s="4">
        <v>34.299999999999997</v>
      </c>
      <c r="H13" s="4">
        <v>0</v>
      </c>
      <c r="I13" s="4" t="s">
        <v>263</v>
      </c>
      <c r="J13" s="4">
        <v>0</v>
      </c>
      <c r="K13" s="36" t="s">
        <v>371</v>
      </c>
      <c r="L13" s="4">
        <v>100</v>
      </c>
      <c r="M13" s="4" t="s">
        <v>223</v>
      </c>
      <c r="N13" s="4">
        <v>83</v>
      </c>
      <c r="O13" s="4">
        <v>51.7</v>
      </c>
      <c r="P13" s="29">
        <f>SUM((IF(C13&lt;32.4,1,0))+(IF(D13&gt;=8.12,1,0))+(IF(E13&lt;95,1,0))+(IF(F13&lt;30,1,0))+IF(OR(G13&lt;80,H13&gt;50),1,0)
+(IF(I13="Chưa đạt chuẩn",1,0))+(IF(J13&lt;50,1,0))+(IF(OR( IFERROR(--TRIM(MID(K13, FIND("Nội trú:", K13)+8, FIND(";",K13&amp;";", FIND("Nội trú:", K13))-FIND("Nội trú:", K13)-8))&gt;=20, FALSE), IFERROR(--TRIM(MID(K13, FIND("Bán trú:", K13)+8, FIND(";", K13&amp;";", FIND("Bán trú:", K13))-FIND("Bán trú:",K13)-8))&gt;=40, FALSE)), 1, 0))+(IF(L13&lt;50,1,0))+IF(OR(M13="chưa có",M13="có nhưng chưa đạt chuẩn"),1,0)+(IF(N13&lt;95,1,0))+(IF(O13&lt;50,1,0)))</f>
        <v>9</v>
      </c>
      <c r="Q13" s="30">
        <f>18/18*100</f>
        <v>100</v>
      </c>
      <c r="R13" s="4" t="str">
        <f t="shared" si="5"/>
        <v>III</v>
      </c>
      <c r="S13" s="145">
        <v>27.5</v>
      </c>
      <c r="T13" s="149">
        <v>53.95</v>
      </c>
      <c r="U13" s="149">
        <v>98.246423627134277</v>
      </c>
      <c r="V13" s="145">
        <v>9.8000000000000007</v>
      </c>
      <c r="W13" s="145">
        <v>54.5</v>
      </c>
      <c r="X13" s="145">
        <v>0</v>
      </c>
      <c r="Y13" s="145" t="s">
        <v>263</v>
      </c>
      <c r="Z13" s="150">
        <v>25</v>
      </c>
      <c r="AA13" s="145" t="s">
        <v>1219</v>
      </c>
      <c r="AB13" s="145">
        <v>100</v>
      </c>
      <c r="AC13" s="145" t="s">
        <v>208</v>
      </c>
      <c r="AD13" s="145">
        <v>72</v>
      </c>
      <c r="AE13" s="145">
        <v>49.61</v>
      </c>
      <c r="AF13" s="59">
        <f t="shared" si="2"/>
        <v>8</v>
      </c>
      <c r="AG13" s="30">
        <f>18/18*100</f>
        <v>100</v>
      </c>
      <c r="AH13" s="4" t="str">
        <f t="shared" si="3"/>
        <v>III</v>
      </c>
      <c r="AI13" s="24"/>
      <c r="AJ13" s="47"/>
      <c r="AK13" s="31">
        <f t="shared" si="0"/>
        <v>1</v>
      </c>
      <c r="AL13" s="31">
        <f t="shared" si="1"/>
        <v>0</v>
      </c>
      <c r="AM13" s="31" t="e">
        <f>P13-#REF!</f>
        <v>#REF!</v>
      </c>
    </row>
    <row r="14" spans="1:39" ht="30" x14ac:dyDescent="0.25">
      <c r="A14" s="27">
        <v>8</v>
      </c>
      <c r="B14" s="2" t="s">
        <v>55</v>
      </c>
      <c r="C14" s="4" t="s">
        <v>372</v>
      </c>
      <c r="D14" s="4">
        <v>31.18</v>
      </c>
      <c r="E14" s="17">
        <v>89.4</v>
      </c>
      <c r="F14" s="4">
        <v>24.6</v>
      </c>
      <c r="G14" s="4">
        <v>42.1</v>
      </c>
      <c r="H14" s="4">
        <v>70</v>
      </c>
      <c r="I14" s="4" t="s">
        <v>208</v>
      </c>
      <c r="J14" s="4">
        <v>25</v>
      </c>
      <c r="K14" s="28" t="s">
        <v>373</v>
      </c>
      <c r="L14" s="4">
        <v>30</v>
      </c>
      <c r="M14" s="4" t="s">
        <v>223</v>
      </c>
      <c r="N14" s="4">
        <v>89</v>
      </c>
      <c r="O14" s="4">
        <v>64</v>
      </c>
      <c r="P14" s="29">
        <f>SUM((IF(C14&lt;32.4,1,0))+(IF(D14&gt;=8.12,1,0))+(IF(E14&lt;95,1,0))+(IF(F14&lt;30,1,0))+IF(OR(G14&lt;80,H14&gt;50),1,0)
+(IF(I14="Chưa đạt chuẩn",1,0))+(IF(J14&lt;50,1,0))+(IF(OR( IFERROR(--TRIM(MID(K14, FIND("Nội trú:", K14)+8, FIND(";",K14&amp;";", FIND("Nội trú:", K14))-FIND("Nội trú:", K14)-8))&gt;=20, FALSE), IFERROR(--TRIM(MID(K14, FIND("Bán trú:", K14)+8, FIND(";", K14&amp;";", FIND("Bán trú:", K14))-FIND("Bán trú:",K14)-8))&gt;=40, FALSE)), 1, 0))+(IF(L14&lt;50,1,0))+IF(OR(M14="chưa có",M14="có nhưng chưa đạt chuẩn"),1,0)+(IF(N14&lt;95,1,0))+(IF(O14&lt;50,1,0)))</f>
        <v>10</v>
      </c>
      <c r="Q14" s="30">
        <f>12/19*100</f>
        <v>63.157894736842103</v>
      </c>
      <c r="R14" s="4" t="str">
        <f t="shared" si="5"/>
        <v>III</v>
      </c>
      <c r="S14" s="145">
        <v>38.700000000000003</v>
      </c>
      <c r="T14" s="149">
        <v>30.78</v>
      </c>
      <c r="U14" s="149">
        <v>89.398280802292263</v>
      </c>
      <c r="V14" s="145">
        <v>19.2</v>
      </c>
      <c r="W14" s="145">
        <v>47.3</v>
      </c>
      <c r="X14" s="145">
        <v>63.6</v>
      </c>
      <c r="Y14" s="145" t="s">
        <v>208</v>
      </c>
      <c r="Z14" s="150">
        <v>54.545454545454497</v>
      </c>
      <c r="AA14" s="145" t="s">
        <v>1264</v>
      </c>
      <c r="AB14" s="145">
        <v>30</v>
      </c>
      <c r="AC14" s="145" t="s">
        <v>208</v>
      </c>
      <c r="AD14" s="145">
        <v>89</v>
      </c>
      <c r="AE14" s="145">
        <v>76.16</v>
      </c>
      <c r="AF14" s="59">
        <f t="shared" si="2"/>
        <v>8</v>
      </c>
      <c r="AG14" s="30">
        <f>12/19*100</f>
        <v>63.157894736842103</v>
      </c>
      <c r="AH14" s="4" t="str">
        <f t="shared" si="3"/>
        <v>III</v>
      </c>
      <c r="AI14" s="24"/>
      <c r="AJ14" s="47"/>
      <c r="AK14" s="31">
        <f t="shared" si="0"/>
        <v>5.4000000000000021</v>
      </c>
      <c r="AL14" s="31">
        <f t="shared" si="1"/>
        <v>0</v>
      </c>
      <c r="AM14" s="31" t="e">
        <f>P14-#REF!</f>
        <v>#REF!</v>
      </c>
    </row>
    <row r="15" spans="1:39" x14ac:dyDescent="0.25">
      <c r="A15" s="27">
        <v>9</v>
      </c>
      <c r="B15" s="2" t="s">
        <v>56</v>
      </c>
      <c r="C15" s="4">
        <v>19</v>
      </c>
      <c r="D15" s="4">
        <v>56.2</v>
      </c>
      <c r="E15" s="17">
        <v>90.26</v>
      </c>
      <c r="F15" s="4">
        <v>0</v>
      </c>
      <c r="G15" s="4">
        <v>35</v>
      </c>
      <c r="H15" s="4">
        <v>53.3</v>
      </c>
      <c r="I15" s="4" t="s">
        <v>263</v>
      </c>
      <c r="J15" s="4">
        <v>0</v>
      </c>
      <c r="K15" s="28" t="s">
        <v>352</v>
      </c>
      <c r="L15" s="4">
        <v>100</v>
      </c>
      <c r="M15" s="4" t="s">
        <v>223</v>
      </c>
      <c r="N15" s="4">
        <v>73.3</v>
      </c>
      <c r="O15" s="4">
        <v>45.2</v>
      </c>
      <c r="P15" s="29">
        <f t="shared" ref="P15:P24" si="6">SUM((IF(C15&lt;32.4,1,0))+(IF(D15&gt;=8.12,1,0))+(IF(E15&lt;95,1,0))+(IF(F15&lt;30,1,0))+IF(OR(G15&lt;80,H15&gt;50),1,0)
+(IF(I15="Chưa đạt chuẩn",1,0))+(IF(J15&lt;50,1,0))+(IF(OR( IFERROR(--TRIM(MID(K15, FIND("Nội trú:", K15)+8, FIND(";",K15&amp;";", FIND("Nội trú:", K15))-FIND("Nội trú:", K15)-8))&gt;=20, FALSE), IFERROR(--TRIM(MID(K15, FIND("Bán trú:", K15)+8, FIND(";", K15&amp;";", FIND("Bán trú:", K15))-FIND("Bán trú:",K15)-8))&gt;=40, FALSE)), 1, 0))+(IF(L15&lt;50,1,0))+IF(OR(M15="chưa có",M15="có nhưng chưa đạt chuẩn"),1,0)+(IF(N15&lt;95,1,0))+(IF(O15&lt;50,1,0)))</f>
        <v>10</v>
      </c>
      <c r="Q15" s="30">
        <f>15/15*100</f>
        <v>100</v>
      </c>
      <c r="R15" s="4" t="str">
        <f t="shared" si="5"/>
        <v>III</v>
      </c>
      <c r="S15" s="145">
        <v>25.4</v>
      </c>
      <c r="T15" s="149">
        <v>61.45</v>
      </c>
      <c r="U15" s="149">
        <v>91.065662002152862</v>
      </c>
      <c r="V15" s="145">
        <v>6</v>
      </c>
      <c r="W15" s="145">
        <v>100</v>
      </c>
      <c r="X15" s="145">
        <v>0</v>
      </c>
      <c r="Y15" s="145" t="s">
        <v>263</v>
      </c>
      <c r="Z15" s="150">
        <v>0</v>
      </c>
      <c r="AA15" s="145" t="s">
        <v>1220</v>
      </c>
      <c r="AB15" s="145">
        <v>100</v>
      </c>
      <c r="AC15" s="145" t="s">
        <v>223</v>
      </c>
      <c r="AD15" s="145">
        <v>93</v>
      </c>
      <c r="AE15" s="145">
        <v>43.45</v>
      </c>
      <c r="AF15" s="59">
        <f t="shared" si="2"/>
        <v>9</v>
      </c>
      <c r="AG15" s="30">
        <f>15/15*100</f>
        <v>100</v>
      </c>
      <c r="AH15" s="4" t="str">
        <f t="shared" si="3"/>
        <v>III</v>
      </c>
      <c r="AI15" s="24"/>
      <c r="AJ15" s="47"/>
      <c r="AK15" s="31">
        <f t="shared" si="0"/>
        <v>-6</v>
      </c>
      <c r="AL15" s="31">
        <f t="shared" si="1"/>
        <v>0</v>
      </c>
      <c r="AM15" s="31" t="e">
        <f>P15-#REF!</f>
        <v>#REF!</v>
      </c>
    </row>
    <row r="16" spans="1:39" ht="45" x14ac:dyDescent="0.25">
      <c r="A16" s="27">
        <v>10</v>
      </c>
      <c r="B16" s="2" t="s">
        <v>57</v>
      </c>
      <c r="C16" s="4">
        <v>24.3</v>
      </c>
      <c r="D16" s="4">
        <v>69.682151589242054</v>
      </c>
      <c r="E16" s="17">
        <v>80.195599022004899</v>
      </c>
      <c r="F16" s="4">
        <v>0</v>
      </c>
      <c r="G16" s="4">
        <v>100</v>
      </c>
      <c r="H16" s="4">
        <v>0</v>
      </c>
      <c r="I16" s="4" t="s">
        <v>263</v>
      </c>
      <c r="J16" s="4">
        <v>0</v>
      </c>
      <c r="K16" s="28" t="s">
        <v>435</v>
      </c>
      <c r="L16" s="4">
        <v>80</v>
      </c>
      <c r="M16" s="4" t="s">
        <v>209</v>
      </c>
      <c r="N16" s="4">
        <v>20</v>
      </c>
      <c r="O16" s="4">
        <v>82.2</v>
      </c>
      <c r="P16" s="29">
        <f t="shared" si="6"/>
        <v>8</v>
      </c>
      <c r="Q16" s="30">
        <f>5/5*100</f>
        <v>100</v>
      </c>
      <c r="R16" s="4" t="str">
        <f t="shared" si="5"/>
        <v>III</v>
      </c>
      <c r="S16" s="145">
        <v>24.3</v>
      </c>
      <c r="T16" s="149">
        <v>69.682151589242054</v>
      </c>
      <c r="U16" s="149">
        <v>54.63182897862233</v>
      </c>
      <c r="V16" s="145">
        <v>13.1</v>
      </c>
      <c r="W16" s="145">
        <v>100</v>
      </c>
      <c r="X16" s="145">
        <v>0</v>
      </c>
      <c r="Y16" s="145" t="s">
        <v>263</v>
      </c>
      <c r="Z16" s="150">
        <v>0</v>
      </c>
      <c r="AA16" s="145" t="s">
        <v>1221</v>
      </c>
      <c r="AB16" s="145">
        <v>80</v>
      </c>
      <c r="AC16" s="145" t="s">
        <v>208</v>
      </c>
      <c r="AD16" s="145">
        <v>40</v>
      </c>
      <c r="AE16" s="145">
        <v>80.290000000000006</v>
      </c>
      <c r="AF16" s="59">
        <f t="shared" si="2"/>
        <v>7</v>
      </c>
      <c r="AG16" s="30">
        <f>5/5*100</f>
        <v>100</v>
      </c>
      <c r="AH16" s="4" t="str">
        <f t="shared" si="3"/>
        <v>III</v>
      </c>
      <c r="AI16" s="24"/>
      <c r="AJ16" s="47"/>
      <c r="AK16" s="31">
        <f t="shared" si="0"/>
        <v>-13.1</v>
      </c>
      <c r="AL16" s="31">
        <f t="shared" si="1"/>
        <v>0</v>
      </c>
      <c r="AM16" s="31" t="e">
        <f>P16-#REF!</f>
        <v>#REF!</v>
      </c>
    </row>
    <row r="17" spans="1:39" ht="45" x14ac:dyDescent="0.25">
      <c r="A17" s="27">
        <v>11</v>
      </c>
      <c r="B17" s="2" t="s">
        <v>58</v>
      </c>
      <c r="C17" s="4">
        <v>43.7</v>
      </c>
      <c r="D17" s="4">
        <v>8.2200000000000006</v>
      </c>
      <c r="E17" s="17">
        <v>99.26</v>
      </c>
      <c r="F17" s="4">
        <v>42</v>
      </c>
      <c r="G17" s="4">
        <v>78</v>
      </c>
      <c r="H17" s="4"/>
      <c r="I17" s="4" t="s">
        <v>263</v>
      </c>
      <c r="J17" s="4">
        <v>100</v>
      </c>
      <c r="K17" s="28" t="s">
        <v>265</v>
      </c>
      <c r="L17" s="4">
        <v>100</v>
      </c>
      <c r="M17" s="4" t="s">
        <v>209</v>
      </c>
      <c r="N17" s="4">
        <v>94</v>
      </c>
      <c r="O17" s="4">
        <v>86.23</v>
      </c>
      <c r="P17" s="29">
        <f>SUM((IF(C17&lt;32.4,1,0))+(IF(D17&gt;=8.12,1,0))+(IF(E17&lt;95,1,0))+(IF(F17&lt;30,1,0))+IF(OR(G17&lt;80,H17&gt;50),1,0)
+(IF(I17="Chưa đạt chuẩn",1,0))+(IF(J17&lt;50,1,0))+(IF(L17&lt;50,1,0))+IF(OR(M17="chưa có",M17="có nhưng chưa đạt chuẩn"),1,0)+(IF(N17&lt;95,1,0))+(IF(O17&lt;50,1,0)))</f>
        <v>4</v>
      </c>
      <c r="Q17" s="30">
        <f>1/20*100</f>
        <v>5</v>
      </c>
      <c r="R17" s="4" t="str">
        <f t="shared" si="5"/>
        <v>II</v>
      </c>
      <c r="S17" s="145">
        <v>43.5</v>
      </c>
      <c r="T17" s="149">
        <v>8.2199999999999989</v>
      </c>
      <c r="U17" s="149">
        <v>99.321197161369952</v>
      </c>
      <c r="V17" s="145">
        <v>27</v>
      </c>
      <c r="W17" s="145">
        <v>100</v>
      </c>
      <c r="X17" s="145">
        <v>0</v>
      </c>
      <c r="Y17" s="145" t="s">
        <v>263</v>
      </c>
      <c r="Z17" s="150">
        <v>100</v>
      </c>
      <c r="AA17" s="145" t="s">
        <v>265</v>
      </c>
      <c r="AB17" s="145">
        <v>100</v>
      </c>
      <c r="AC17" s="145" t="s">
        <v>208</v>
      </c>
      <c r="AD17" s="145">
        <v>100</v>
      </c>
      <c r="AE17" s="145">
        <v>81.48</v>
      </c>
      <c r="AF17" s="59">
        <f t="shared" si="2"/>
        <v>2</v>
      </c>
      <c r="AG17" s="30">
        <f>1/20*100</f>
        <v>5</v>
      </c>
      <c r="AH17" s="4" t="str">
        <f>IF(AF17&lt;3,"I",IF(AND(AF17&gt;=3,AF17&lt;=5,NOT(OR(AF17&gt;=6,AND(AF17&gt;=3,AG17&gt;=50)))),"II","III"))</f>
        <v>I</v>
      </c>
      <c r="AI17" s="24"/>
      <c r="AJ17" s="47"/>
      <c r="AK17" s="31">
        <f t="shared" si="0"/>
        <v>15</v>
      </c>
      <c r="AL17" s="31">
        <f t="shared" si="1"/>
        <v>0</v>
      </c>
      <c r="AM17" s="31" t="e">
        <f>P17-#REF!</f>
        <v>#REF!</v>
      </c>
    </row>
    <row r="18" spans="1:39" ht="45" x14ac:dyDescent="0.25">
      <c r="A18" s="27">
        <v>12</v>
      </c>
      <c r="B18" s="2" t="s">
        <v>59</v>
      </c>
      <c r="C18" s="4">
        <v>47</v>
      </c>
      <c r="D18" s="4">
        <v>6.47</v>
      </c>
      <c r="E18" s="17">
        <v>97.9</v>
      </c>
      <c r="F18" s="4">
        <v>82.5</v>
      </c>
      <c r="G18" s="4">
        <v>82</v>
      </c>
      <c r="H18" s="4">
        <v>11</v>
      </c>
      <c r="I18" s="4" t="s">
        <v>263</v>
      </c>
      <c r="J18" s="4">
        <v>42.85</v>
      </c>
      <c r="K18" s="28" t="s">
        <v>265</v>
      </c>
      <c r="L18" s="4">
        <v>100</v>
      </c>
      <c r="M18" s="4" t="s">
        <v>388</v>
      </c>
      <c r="N18" s="4">
        <v>100</v>
      </c>
      <c r="O18" s="4">
        <v>91.22</v>
      </c>
      <c r="P18" s="29">
        <f>SUM((IF(C18&lt;32.4,1,0))+(IF(D18&gt;=8.12,1,0))+(IF(E18&lt;95,1,0))+(IF(F18&lt;30,1,0))+IF(OR(G18&lt;80,H18&gt;50),1,0)
+(IF(I18="Chưa đạt chuẩn",1,0))+(IF(J18&lt;50,1,0))+(IF(L18&lt;50,1,0))+IF(OR(M18="chưa có",M18="có nhưng chưa đạt chuẩn"),1,0)+(IF(N18&lt;95,1,0))+(IF(O18&lt;50,1,0)))</f>
        <v>1</v>
      </c>
      <c r="Q18" s="30">
        <f>6/35*100</f>
        <v>17.142857142857142</v>
      </c>
      <c r="R18" s="4" t="str">
        <f t="shared" si="5"/>
        <v>I</v>
      </c>
      <c r="S18" s="145">
        <v>47</v>
      </c>
      <c r="T18" s="149">
        <v>8.370000000000001</v>
      </c>
      <c r="U18" s="149">
        <v>97.902097902097907</v>
      </c>
      <c r="V18" s="145">
        <v>76.099999999999994</v>
      </c>
      <c r="W18" s="145">
        <v>100</v>
      </c>
      <c r="X18" s="145">
        <v>5.65</v>
      </c>
      <c r="Y18" s="145" t="s">
        <v>263</v>
      </c>
      <c r="Z18" s="150">
        <v>88.888888888888886</v>
      </c>
      <c r="AA18" s="145" t="s">
        <v>1231</v>
      </c>
      <c r="AB18" s="145">
        <v>100</v>
      </c>
      <c r="AC18" s="145" t="s">
        <v>263</v>
      </c>
      <c r="AD18" s="145">
        <v>100</v>
      </c>
      <c r="AE18" s="145">
        <v>82.6</v>
      </c>
      <c r="AF18" s="59">
        <f t="shared" si="2"/>
        <v>1</v>
      </c>
      <c r="AG18" s="30">
        <f>6/35*100</f>
        <v>17.142857142857142</v>
      </c>
      <c r="AH18" s="4" t="str">
        <f t="shared" si="3"/>
        <v>I</v>
      </c>
      <c r="AI18" s="24"/>
      <c r="AJ18" s="47"/>
      <c r="AK18" s="31">
        <f t="shared" si="0"/>
        <v>6.4000000000000057</v>
      </c>
      <c r="AL18" s="31">
        <f t="shared" si="1"/>
        <v>0</v>
      </c>
      <c r="AM18" s="31" t="e">
        <f>P18-#REF!</f>
        <v>#REF!</v>
      </c>
    </row>
    <row r="19" spans="1:39" ht="45" x14ac:dyDescent="0.25">
      <c r="A19" s="27">
        <v>13</v>
      </c>
      <c r="B19" s="2" t="s">
        <v>60</v>
      </c>
      <c r="C19" s="4">
        <v>55</v>
      </c>
      <c r="D19" s="4">
        <v>4.78</v>
      </c>
      <c r="E19" s="17">
        <v>100</v>
      </c>
      <c r="F19" s="4">
        <v>77.5</v>
      </c>
      <c r="G19" s="4">
        <v>95</v>
      </c>
      <c r="H19" s="4">
        <v>5</v>
      </c>
      <c r="I19" s="4" t="s">
        <v>263</v>
      </c>
      <c r="J19" s="4">
        <v>100</v>
      </c>
      <c r="K19" s="28" t="s">
        <v>265</v>
      </c>
      <c r="L19" s="4">
        <v>90</v>
      </c>
      <c r="M19" s="4" t="s">
        <v>209</v>
      </c>
      <c r="N19" s="4">
        <v>100</v>
      </c>
      <c r="O19" s="4">
        <v>93.5</v>
      </c>
      <c r="P19" s="29">
        <f>SUM((IF(C19&lt;32.4,1,0))+(IF(D19&gt;=8.12,1,0))+(IF(E19&lt;95,1,0))+(IF(F19&lt;30,1,0))+IF(OR(G19&lt;80,H19&gt;50),1,0)
+(IF(I19="Chưa đạt chuẩn",1,0))+(IF(J19&lt;50,1,0))+(IF(L19&lt;50,1,0))+IF(OR(M19="chưa có",M19="có nhưng chưa đạt chuẩn"),1,0)+(IF(N19&lt;95,1,0))+(IF(O19&lt;50,1,0)))</f>
        <v>1</v>
      </c>
      <c r="Q19" s="30">
        <f>1/46*100</f>
        <v>2.1739130434782608</v>
      </c>
      <c r="R19" s="4" t="str">
        <f t="shared" si="5"/>
        <v>I</v>
      </c>
      <c r="S19" s="145">
        <v>55.2</v>
      </c>
      <c r="T19" s="149">
        <v>4.41</v>
      </c>
      <c r="U19" s="149">
        <v>98.235294117647072</v>
      </c>
      <c r="V19" s="145">
        <v>71.400000000000006</v>
      </c>
      <c r="W19" s="145">
        <v>95</v>
      </c>
      <c r="X19" s="145">
        <v>5</v>
      </c>
      <c r="Y19" s="145" t="s">
        <v>263</v>
      </c>
      <c r="Z19" s="150">
        <v>100</v>
      </c>
      <c r="AA19" s="145" t="s">
        <v>265</v>
      </c>
      <c r="AB19" s="145">
        <v>90</v>
      </c>
      <c r="AC19" s="145" t="s">
        <v>208</v>
      </c>
      <c r="AD19" s="145">
        <v>100</v>
      </c>
      <c r="AE19" s="145">
        <v>89.6</v>
      </c>
      <c r="AF19" s="59">
        <f t="shared" si="2"/>
        <v>0</v>
      </c>
      <c r="AG19" s="30">
        <f>1/46*100</f>
        <v>2.1739130434782608</v>
      </c>
      <c r="AH19" s="4" t="str">
        <f t="shared" si="3"/>
        <v>I</v>
      </c>
      <c r="AI19" s="24"/>
      <c r="AJ19" s="47"/>
      <c r="AK19" s="31">
        <f t="shared" si="0"/>
        <v>6.0999999999999943</v>
      </c>
      <c r="AL19" s="31">
        <f t="shared" si="1"/>
        <v>0</v>
      </c>
      <c r="AM19" s="31" t="e">
        <f>P19-#REF!</f>
        <v>#REF!</v>
      </c>
    </row>
    <row r="20" spans="1:39" ht="45" x14ac:dyDescent="0.25">
      <c r="A20" s="27">
        <v>14</v>
      </c>
      <c r="B20" s="2" t="s">
        <v>61</v>
      </c>
      <c r="C20" s="4">
        <v>44.2</v>
      </c>
      <c r="D20" s="4">
        <v>8.77</v>
      </c>
      <c r="E20" s="17">
        <v>99.7</v>
      </c>
      <c r="F20" s="4">
        <v>59</v>
      </c>
      <c r="G20" s="4">
        <v>71</v>
      </c>
      <c r="H20" s="4">
        <v>29</v>
      </c>
      <c r="I20" s="4" t="s">
        <v>263</v>
      </c>
      <c r="J20" s="4">
        <v>33.33</v>
      </c>
      <c r="K20" s="28" t="s">
        <v>265</v>
      </c>
      <c r="L20" s="4" t="s">
        <v>689</v>
      </c>
      <c r="M20" s="4" t="s">
        <v>209</v>
      </c>
      <c r="N20" s="4">
        <v>100</v>
      </c>
      <c r="O20" s="4">
        <v>81.59</v>
      </c>
      <c r="P20" s="29">
        <f>SUM((IF(C20&lt;32.4,1,0))+(IF(D20&gt;=8.12,1,0))+(IF(E20&lt;95,1,0))+(IF(F20&lt;30,1,0))+IF(OR(G20&lt;80,H20&gt;50),1,0)
+(IF(I20="Chưa đạt chuẩn",1,0))+(IF(J20&lt;50,1,0))+(IF(L20&lt;50,1,0))+IF(OR(M20="chưa có",M20="có nhưng chưa đạt chuẩn"),1,0)+(IF(N20&lt;95,1,0))+(IF(O20&lt;50,1,0)))</f>
        <v>4</v>
      </c>
      <c r="Q20" s="30">
        <f>10/39*100</f>
        <v>25.641025641025639</v>
      </c>
      <c r="R20" s="4" t="str">
        <f t="shared" si="5"/>
        <v>II</v>
      </c>
      <c r="S20" s="145">
        <v>44.2</v>
      </c>
      <c r="T20" s="149">
        <v>8.76</v>
      </c>
      <c r="U20" s="149">
        <v>94.866732477788744</v>
      </c>
      <c r="V20" s="145">
        <v>47.4</v>
      </c>
      <c r="W20" s="145">
        <v>100</v>
      </c>
      <c r="X20" s="145">
        <v>57.29</v>
      </c>
      <c r="Y20" s="145" t="s">
        <v>263</v>
      </c>
      <c r="Z20" s="150">
        <v>100</v>
      </c>
      <c r="AA20" s="145" t="s">
        <v>265</v>
      </c>
      <c r="AB20" s="145">
        <v>60.9</v>
      </c>
      <c r="AC20" s="145" t="s">
        <v>208</v>
      </c>
      <c r="AD20" s="145">
        <v>100</v>
      </c>
      <c r="AE20" s="145">
        <v>74.7</v>
      </c>
      <c r="AF20" s="59">
        <f t="shared" si="2"/>
        <v>3</v>
      </c>
      <c r="AG20" s="30">
        <f>10/39*100</f>
        <v>25.641025641025639</v>
      </c>
      <c r="AH20" s="4" t="str">
        <f t="shared" si="3"/>
        <v>II</v>
      </c>
      <c r="AI20" s="24"/>
      <c r="AJ20" s="47"/>
      <c r="AK20" s="31">
        <f t="shared" si="0"/>
        <v>11.600000000000001</v>
      </c>
      <c r="AL20" s="31">
        <f t="shared" si="1"/>
        <v>0</v>
      </c>
      <c r="AM20" s="31" t="e">
        <f>P20-#REF!</f>
        <v>#REF!</v>
      </c>
    </row>
    <row r="21" spans="1:39" ht="30" x14ac:dyDescent="0.25">
      <c r="A21" s="27">
        <v>15</v>
      </c>
      <c r="B21" s="2" t="s">
        <v>62</v>
      </c>
      <c r="C21" s="4">
        <v>35.5</v>
      </c>
      <c r="D21" s="4">
        <v>28.1</v>
      </c>
      <c r="E21" s="17">
        <v>96.6</v>
      </c>
      <c r="F21" s="4">
        <v>28</v>
      </c>
      <c r="G21" s="4">
        <v>61.3</v>
      </c>
      <c r="H21" s="4">
        <v>51.6</v>
      </c>
      <c r="I21" s="4" t="s">
        <v>263</v>
      </c>
      <c r="J21" s="4">
        <v>0</v>
      </c>
      <c r="K21" s="28" t="s">
        <v>406</v>
      </c>
      <c r="L21" s="4">
        <v>45</v>
      </c>
      <c r="M21" s="4" t="s">
        <v>223</v>
      </c>
      <c r="N21" s="4">
        <v>93.75</v>
      </c>
      <c r="O21" s="4">
        <v>80.41</v>
      </c>
      <c r="P21" s="29">
        <f t="shared" si="6"/>
        <v>8</v>
      </c>
      <c r="Q21" s="30">
        <f>6/16*100</f>
        <v>37.5</v>
      </c>
      <c r="R21" s="4" t="str">
        <f t="shared" si="5"/>
        <v>III</v>
      </c>
      <c r="S21" s="145">
        <v>35.5</v>
      </c>
      <c r="T21" s="149">
        <v>28.11</v>
      </c>
      <c r="U21" s="149">
        <v>96.726422447388927</v>
      </c>
      <c r="V21" s="145">
        <v>3.1</v>
      </c>
      <c r="W21" s="145">
        <v>100</v>
      </c>
      <c r="X21" s="145">
        <v>51.6</v>
      </c>
      <c r="Y21" s="145" t="s">
        <v>263</v>
      </c>
      <c r="Z21" s="150">
        <v>66.666666666666671</v>
      </c>
      <c r="AA21" s="145" t="s">
        <v>1222</v>
      </c>
      <c r="AB21" s="145">
        <v>45</v>
      </c>
      <c r="AC21" s="145" t="s">
        <v>208</v>
      </c>
      <c r="AD21" s="145">
        <v>93.75</v>
      </c>
      <c r="AE21" s="145">
        <v>75.11</v>
      </c>
      <c r="AF21" s="59">
        <f t="shared" si="2"/>
        <v>6</v>
      </c>
      <c r="AG21" s="30">
        <f>6/16*100</f>
        <v>37.5</v>
      </c>
      <c r="AH21" s="4" t="str">
        <f t="shared" si="3"/>
        <v>III</v>
      </c>
      <c r="AI21" s="24"/>
      <c r="AJ21" s="47"/>
      <c r="AK21" s="31">
        <f t="shared" si="0"/>
        <v>24.9</v>
      </c>
      <c r="AL21" s="31">
        <f t="shared" si="1"/>
        <v>0</v>
      </c>
      <c r="AM21" s="31" t="e">
        <f>P21-#REF!</f>
        <v>#REF!</v>
      </c>
    </row>
    <row r="22" spans="1:39" ht="60" x14ac:dyDescent="0.25">
      <c r="A22" s="27">
        <v>16</v>
      </c>
      <c r="B22" s="2" t="s">
        <v>63</v>
      </c>
      <c r="C22" s="4">
        <v>46.8</v>
      </c>
      <c r="D22" s="4">
        <v>7.34</v>
      </c>
      <c r="E22" s="17">
        <v>94.56</v>
      </c>
      <c r="F22" s="4">
        <v>23.93</v>
      </c>
      <c r="G22" s="4" t="s">
        <v>436</v>
      </c>
      <c r="H22" s="4"/>
      <c r="I22" s="4" t="s">
        <v>263</v>
      </c>
      <c r="J22" s="4">
        <v>33.299999999999997</v>
      </c>
      <c r="K22" s="28" t="s">
        <v>1152</v>
      </c>
      <c r="L22" s="4">
        <v>95</v>
      </c>
      <c r="M22" s="4" t="s">
        <v>223</v>
      </c>
      <c r="N22" s="4">
        <v>90</v>
      </c>
      <c r="O22" s="4">
        <v>79.400000000000006</v>
      </c>
      <c r="P22" s="29">
        <f t="shared" si="6"/>
        <v>6</v>
      </c>
      <c r="Q22" s="30">
        <f>4/20*100</f>
        <v>20</v>
      </c>
      <c r="R22" s="4" t="str">
        <f t="shared" si="5"/>
        <v>III</v>
      </c>
      <c r="S22" s="145">
        <v>46.8</v>
      </c>
      <c r="T22" s="149">
        <v>7.34</v>
      </c>
      <c r="U22" s="149">
        <v>94.560540872771981</v>
      </c>
      <c r="V22" s="145">
        <v>4.7</v>
      </c>
      <c r="W22" s="145">
        <v>62</v>
      </c>
      <c r="X22" s="145">
        <v>0</v>
      </c>
      <c r="Y22" s="145" t="s">
        <v>263</v>
      </c>
      <c r="Z22" s="150">
        <v>66.666666666666671</v>
      </c>
      <c r="AA22" s="145" t="s">
        <v>1223</v>
      </c>
      <c r="AB22" s="145">
        <v>95</v>
      </c>
      <c r="AC22" s="145" t="s">
        <v>223</v>
      </c>
      <c r="AD22" s="145">
        <v>90</v>
      </c>
      <c r="AE22" s="145">
        <v>73.959999999999994</v>
      </c>
      <c r="AF22" s="59">
        <f t="shared" si="2"/>
        <v>6</v>
      </c>
      <c r="AG22" s="30">
        <f>4/20*100</f>
        <v>20</v>
      </c>
      <c r="AH22" s="4" t="str">
        <f t="shared" si="3"/>
        <v>III</v>
      </c>
      <c r="AI22" s="24"/>
      <c r="AJ22" s="47"/>
      <c r="AK22" s="31">
        <f t="shared" si="0"/>
        <v>19.23</v>
      </c>
      <c r="AL22" s="31">
        <f t="shared" si="1"/>
        <v>0</v>
      </c>
      <c r="AM22" s="31" t="e">
        <f>P22-#REF!</f>
        <v>#REF!</v>
      </c>
    </row>
    <row r="23" spans="1:39" ht="30" x14ac:dyDescent="0.25">
      <c r="A23" s="27">
        <v>17</v>
      </c>
      <c r="B23" s="2" t="s">
        <v>64</v>
      </c>
      <c r="C23" s="4">
        <v>27.7</v>
      </c>
      <c r="D23" s="4">
        <v>21.25</v>
      </c>
      <c r="E23" s="17">
        <v>82.8</v>
      </c>
      <c r="F23" s="4">
        <v>4</v>
      </c>
      <c r="G23" s="4">
        <v>33</v>
      </c>
      <c r="H23" s="4">
        <v>82.9</v>
      </c>
      <c r="I23" s="4" t="s">
        <v>208</v>
      </c>
      <c r="J23" s="4">
        <v>37.5</v>
      </c>
      <c r="K23" s="28" t="s">
        <v>405</v>
      </c>
      <c r="L23" s="4">
        <v>48.03</v>
      </c>
      <c r="M23" s="4" t="s">
        <v>223</v>
      </c>
      <c r="N23" s="4">
        <v>90</v>
      </c>
      <c r="O23" s="4">
        <v>65.64</v>
      </c>
      <c r="P23" s="29">
        <f t="shared" si="6"/>
        <v>11</v>
      </c>
      <c r="Q23" s="30">
        <f>20/23*100</f>
        <v>86.956521739130437</v>
      </c>
      <c r="R23" s="4" t="str">
        <f t="shared" si="5"/>
        <v>III</v>
      </c>
      <c r="S23" s="145">
        <v>27.7</v>
      </c>
      <c r="T23" s="149">
        <v>21.25</v>
      </c>
      <c r="U23" s="149">
        <v>82.049276495893622</v>
      </c>
      <c r="V23" s="145">
        <v>2.8</v>
      </c>
      <c r="W23" s="145">
        <v>63</v>
      </c>
      <c r="X23" s="145">
        <v>32</v>
      </c>
      <c r="Y23" s="145" t="s">
        <v>208</v>
      </c>
      <c r="Z23" s="150">
        <v>37.5</v>
      </c>
      <c r="AA23" s="145" t="s">
        <v>1224</v>
      </c>
      <c r="AB23" s="145">
        <v>48</v>
      </c>
      <c r="AC23" s="145" t="s">
        <v>223</v>
      </c>
      <c r="AD23" s="145">
        <v>91.3</v>
      </c>
      <c r="AE23" s="145">
        <v>49.97</v>
      </c>
      <c r="AF23" s="59">
        <f t="shared" si="2"/>
        <v>12</v>
      </c>
      <c r="AG23" s="30">
        <f>20/23*100</f>
        <v>86.956521739130437</v>
      </c>
      <c r="AH23" s="4" t="str">
        <f t="shared" si="3"/>
        <v>III</v>
      </c>
      <c r="AI23" s="24"/>
      <c r="AJ23" s="47"/>
      <c r="AK23" s="31">
        <f t="shared" si="0"/>
        <v>1.2000000000000002</v>
      </c>
      <c r="AL23" s="31">
        <f t="shared" si="1"/>
        <v>3.0000000000001137E-2</v>
      </c>
      <c r="AM23" s="31" t="e">
        <f>P23-#REF!</f>
        <v>#REF!</v>
      </c>
    </row>
    <row r="24" spans="1:39" ht="21.75" customHeight="1" x14ac:dyDescent="0.25">
      <c r="A24" s="27">
        <v>18</v>
      </c>
      <c r="B24" s="2" t="s">
        <v>65</v>
      </c>
      <c r="C24" s="4">
        <v>47.3</v>
      </c>
      <c r="D24" s="4">
        <v>9.69</v>
      </c>
      <c r="E24" s="17">
        <v>92.86</v>
      </c>
      <c r="F24" s="4">
        <v>27</v>
      </c>
      <c r="G24" s="4">
        <v>80</v>
      </c>
      <c r="H24" s="4">
        <v>0</v>
      </c>
      <c r="I24" s="4" t="s">
        <v>263</v>
      </c>
      <c r="J24" s="4">
        <v>50</v>
      </c>
      <c r="K24" s="28" t="s">
        <v>994</v>
      </c>
      <c r="L24" s="4">
        <v>54</v>
      </c>
      <c r="M24" s="4" t="s">
        <v>223</v>
      </c>
      <c r="N24" s="4">
        <v>94</v>
      </c>
      <c r="O24" s="4">
        <v>47.05</v>
      </c>
      <c r="P24" s="29">
        <f t="shared" si="6"/>
        <v>7</v>
      </c>
      <c r="Q24" s="30">
        <f>15/36*100</f>
        <v>41.666666666666671</v>
      </c>
      <c r="R24" s="4" t="str">
        <f t="shared" si="5"/>
        <v>III</v>
      </c>
      <c r="S24" s="145">
        <v>45.7</v>
      </c>
      <c r="T24" s="149">
        <v>9.69</v>
      </c>
      <c r="U24" s="149">
        <v>92.968890487322426</v>
      </c>
      <c r="V24" s="145">
        <v>29</v>
      </c>
      <c r="W24" s="145">
        <v>80</v>
      </c>
      <c r="X24" s="145">
        <v>0</v>
      </c>
      <c r="Y24" s="145" t="s">
        <v>263</v>
      </c>
      <c r="Z24" s="150">
        <v>83</v>
      </c>
      <c r="AA24" s="145" t="s">
        <v>1265</v>
      </c>
      <c r="AB24" s="145">
        <v>54</v>
      </c>
      <c r="AC24" s="145" t="s">
        <v>263</v>
      </c>
      <c r="AD24" s="145" t="s">
        <v>147</v>
      </c>
      <c r="AE24" s="145">
        <v>79.39</v>
      </c>
      <c r="AF24" s="59">
        <f t="shared" si="2"/>
        <v>4</v>
      </c>
      <c r="AG24" s="30">
        <f>15/36*100</f>
        <v>41.666666666666671</v>
      </c>
      <c r="AH24" s="4" t="str">
        <f t="shared" si="3"/>
        <v>II</v>
      </c>
      <c r="AI24" s="24"/>
      <c r="AJ24" s="47"/>
      <c r="AK24" s="31">
        <f t="shared" si="0"/>
        <v>-2</v>
      </c>
      <c r="AL24" s="31">
        <f t="shared" si="1"/>
        <v>0</v>
      </c>
      <c r="AM24" s="31" t="e">
        <f>P24-#REF!</f>
        <v>#REF!</v>
      </c>
    </row>
    <row r="25" spans="1:39" ht="45" x14ac:dyDescent="0.25">
      <c r="A25" s="27">
        <v>19</v>
      </c>
      <c r="B25" s="2" t="s">
        <v>66</v>
      </c>
      <c r="C25" s="4">
        <v>53.7</v>
      </c>
      <c r="D25" s="4">
        <v>6.23</v>
      </c>
      <c r="E25" s="17">
        <v>92.66</v>
      </c>
      <c r="F25" s="4">
        <v>21.9</v>
      </c>
      <c r="G25" s="4">
        <v>85</v>
      </c>
      <c r="H25" s="4">
        <v>5</v>
      </c>
      <c r="I25" s="4" t="s">
        <v>208</v>
      </c>
      <c r="J25" s="4">
        <v>100</v>
      </c>
      <c r="K25" s="28" t="s">
        <v>265</v>
      </c>
      <c r="L25" s="4">
        <v>95</v>
      </c>
      <c r="M25" s="4" t="s">
        <v>209</v>
      </c>
      <c r="N25" s="4">
        <v>100</v>
      </c>
      <c r="O25" s="4">
        <v>91.09</v>
      </c>
      <c r="P25" s="29">
        <f>SUM((IF(C25&lt;32.4,1,0))+(IF(D25&gt;=8.12,1,0))+(IF(E25&lt;95,1,0))+(IF(F25&lt;30,1,0))+IF(OR(G25&lt;80,H25&gt;50),1,0)
+(IF(I25="Chưa đạt chuẩn",1,0))+(IF(J25&lt;50,1,0))+(IF(L25&lt;50,1,0))+IF(OR(M25="chưa có",M25="có nhưng chưa đạt chuẩn"),1,0)+(IF(N25&lt;95,1,0))+(IF(O25&lt;50,1,0)))</f>
        <v>4</v>
      </c>
      <c r="Q25" s="30">
        <f>0/23*100</f>
        <v>0</v>
      </c>
      <c r="R25" s="4" t="str">
        <f t="shared" si="5"/>
        <v>II</v>
      </c>
      <c r="S25" s="145">
        <v>53.7</v>
      </c>
      <c r="T25" s="149">
        <v>6.24</v>
      </c>
      <c r="U25" s="149">
        <v>92.65883609183129</v>
      </c>
      <c r="V25" s="145">
        <v>8.8000000000000007</v>
      </c>
      <c r="W25" s="145">
        <v>85</v>
      </c>
      <c r="X25" s="145">
        <v>5</v>
      </c>
      <c r="Y25" s="145" t="s">
        <v>208</v>
      </c>
      <c r="Z25" s="150">
        <v>100</v>
      </c>
      <c r="AA25" s="145" t="s">
        <v>265</v>
      </c>
      <c r="AB25" s="145">
        <v>95</v>
      </c>
      <c r="AC25" s="145" t="s">
        <v>208</v>
      </c>
      <c r="AD25" s="145">
        <v>100</v>
      </c>
      <c r="AE25" s="145">
        <v>77.099999999999994</v>
      </c>
      <c r="AF25" s="59">
        <f t="shared" si="2"/>
        <v>3</v>
      </c>
      <c r="AG25" s="30">
        <f>0/23*100</f>
        <v>0</v>
      </c>
      <c r="AH25" s="4" t="str">
        <f t="shared" si="3"/>
        <v>II</v>
      </c>
      <c r="AI25" s="24"/>
      <c r="AJ25" s="47"/>
      <c r="AK25" s="31">
        <f t="shared" si="0"/>
        <v>13.099999999999998</v>
      </c>
      <c r="AL25" s="31">
        <f t="shared" si="1"/>
        <v>0</v>
      </c>
      <c r="AM25" s="31" t="e">
        <f>P25-#REF!</f>
        <v>#REF!</v>
      </c>
    </row>
    <row r="26" spans="1:39" ht="45" x14ac:dyDescent="0.25">
      <c r="A26" s="27">
        <v>20</v>
      </c>
      <c r="B26" s="2" t="s">
        <v>67</v>
      </c>
      <c r="C26" s="4">
        <v>55.9</v>
      </c>
      <c r="D26" s="4">
        <v>17.21</v>
      </c>
      <c r="E26" s="17">
        <v>89.45</v>
      </c>
      <c r="F26" s="4">
        <v>20.8</v>
      </c>
      <c r="G26" s="4">
        <v>100</v>
      </c>
      <c r="H26" s="4">
        <v>4</v>
      </c>
      <c r="I26" s="4" t="s">
        <v>263</v>
      </c>
      <c r="J26" s="4">
        <v>100</v>
      </c>
      <c r="K26" s="28" t="s">
        <v>265</v>
      </c>
      <c r="L26" s="4">
        <v>93.4</v>
      </c>
      <c r="M26" s="4" t="s">
        <v>223</v>
      </c>
      <c r="N26" s="4">
        <v>100</v>
      </c>
      <c r="O26" s="4">
        <v>79.87</v>
      </c>
      <c r="P26" s="29">
        <f>SUM((IF(C26&lt;32.4,1,0))+(IF(D26&gt;=8.12,1,0))+(IF(E26&lt;95,1,0))+(IF(F26&lt;30,1,0))+IF(OR(G26&lt;80,H26&gt;50),1,0)
+(IF(I26="Chưa đạt chuẩn",1,0))+(IF(J26&lt;50,1,0))+(IF(L26&lt;50,1,0))+IF(OR(M26="chưa có",M26="có nhưng chưa đạt chuẩn"),1,0)+(IF(N26&lt;95,1,0))+(IF(O26&lt;50,1,0)))</f>
        <v>4</v>
      </c>
      <c r="Q26" s="30">
        <f>2/34*100</f>
        <v>5.8823529411764701</v>
      </c>
      <c r="R26" s="4" t="str">
        <f t="shared" si="5"/>
        <v>II</v>
      </c>
      <c r="S26" s="145">
        <v>55.9</v>
      </c>
      <c r="T26" s="149">
        <v>6.42</v>
      </c>
      <c r="U26" s="149">
        <v>89.454618635540356</v>
      </c>
      <c r="V26" s="145">
        <v>7.5</v>
      </c>
      <c r="W26" s="145">
        <v>100</v>
      </c>
      <c r="X26" s="145">
        <v>4</v>
      </c>
      <c r="Y26" s="145" t="s">
        <v>263</v>
      </c>
      <c r="Z26" s="150">
        <v>100</v>
      </c>
      <c r="AA26" s="145" t="s">
        <v>265</v>
      </c>
      <c r="AB26" s="145">
        <v>93.4</v>
      </c>
      <c r="AC26" s="145" t="s">
        <v>223</v>
      </c>
      <c r="AD26" s="145">
        <v>100</v>
      </c>
      <c r="AE26" s="145">
        <v>76.41</v>
      </c>
      <c r="AF26" s="59">
        <f t="shared" si="2"/>
        <v>3</v>
      </c>
      <c r="AG26" s="30">
        <f>2/34*100</f>
        <v>5.8823529411764701</v>
      </c>
      <c r="AH26" s="4" t="str">
        <f t="shared" si="3"/>
        <v>II</v>
      </c>
      <c r="AI26" s="24"/>
      <c r="AJ26" s="47"/>
      <c r="AK26" s="31">
        <f t="shared" si="0"/>
        <v>13.3</v>
      </c>
      <c r="AL26" s="31">
        <f t="shared" si="1"/>
        <v>0</v>
      </c>
      <c r="AM26" s="31" t="e">
        <f>P26-#REF!</f>
        <v>#REF!</v>
      </c>
    </row>
    <row r="27" spans="1:39" ht="45" x14ac:dyDescent="0.25">
      <c r="A27" s="27">
        <v>21</v>
      </c>
      <c r="B27" s="2" t="s">
        <v>68</v>
      </c>
      <c r="C27" s="4">
        <v>47.5</v>
      </c>
      <c r="D27" s="4">
        <v>7.75</v>
      </c>
      <c r="E27" s="17">
        <v>90.47</v>
      </c>
      <c r="F27" s="4">
        <v>17.37</v>
      </c>
      <c r="G27" s="4">
        <v>91.02</v>
      </c>
      <c r="H27" s="4">
        <v>53.91</v>
      </c>
      <c r="I27" s="4" t="s">
        <v>263</v>
      </c>
      <c r="J27" s="4">
        <v>22.22</v>
      </c>
      <c r="K27" s="28" t="s">
        <v>265</v>
      </c>
      <c r="L27" s="4">
        <v>27.4</v>
      </c>
      <c r="M27" s="4" t="s">
        <v>223</v>
      </c>
      <c r="N27" s="4">
        <v>87</v>
      </c>
      <c r="O27" s="4">
        <v>60.07</v>
      </c>
      <c r="P27" s="29">
        <f>SUM((IF(C27&lt;32.4,1,0))+(IF(D27&gt;=8.12,1,0))+(IF(E27&lt;95,1,0))+(IF(F27&lt;30,1,0))+IF(OR(G27&lt;80,H27&gt;50),1,0)+(IF(I27="Chưa đạt chuẩn",1,0))+(IF(J27&lt;50,1,0))+(IF(L27&lt;50,1,0))+IF(OR(M27="chưa có",M27="có nhưng chưa đạt chuẩn"),1,0)+(IF(N27&lt;95,1,0))+(IF(O27&lt;50,1,0)))</f>
        <v>7</v>
      </c>
      <c r="Q27" s="30">
        <f>22/31*100</f>
        <v>70.967741935483872</v>
      </c>
      <c r="R27" s="4" t="str">
        <f t="shared" si="5"/>
        <v>III</v>
      </c>
      <c r="S27" s="145">
        <v>47.5</v>
      </c>
      <c r="T27" s="149">
        <v>7.75</v>
      </c>
      <c r="U27" s="149">
        <v>90.467899891186065</v>
      </c>
      <c r="V27" s="145">
        <v>5</v>
      </c>
      <c r="W27" s="145">
        <v>91.02</v>
      </c>
      <c r="X27" s="145">
        <v>53.91</v>
      </c>
      <c r="Y27" s="145" t="s">
        <v>263</v>
      </c>
      <c r="Z27" s="150">
        <v>77.777777777777786</v>
      </c>
      <c r="AA27" s="145" t="s">
        <v>265</v>
      </c>
      <c r="AB27" s="145">
        <v>27.4</v>
      </c>
      <c r="AC27" s="145" t="s">
        <v>208</v>
      </c>
      <c r="AD27" s="145" t="s">
        <v>147</v>
      </c>
      <c r="AE27" s="145">
        <v>70.92</v>
      </c>
      <c r="AF27" s="59">
        <f t="shared" si="2"/>
        <v>4</v>
      </c>
      <c r="AG27" s="30">
        <f>22/31*100</f>
        <v>70.967741935483872</v>
      </c>
      <c r="AH27" s="4" t="str">
        <f t="shared" si="3"/>
        <v>III</v>
      </c>
      <c r="AI27" s="24"/>
      <c r="AJ27" s="47"/>
      <c r="AK27" s="31">
        <f t="shared" si="0"/>
        <v>12.370000000000001</v>
      </c>
      <c r="AL27" s="31">
        <f t="shared" si="1"/>
        <v>0</v>
      </c>
      <c r="AM27" s="31" t="e">
        <f>P27-#REF!</f>
        <v>#REF!</v>
      </c>
    </row>
    <row r="28" spans="1:39" x14ac:dyDescent="0.25">
      <c r="A28" s="27">
        <v>22</v>
      </c>
      <c r="B28" s="2" t="s">
        <v>69</v>
      </c>
      <c r="C28" s="4">
        <v>32</v>
      </c>
      <c r="D28" s="4">
        <v>12.4</v>
      </c>
      <c r="E28" s="17">
        <v>84.5</v>
      </c>
      <c r="F28" s="4">
        <v>20.9</v>
      </c>
      <c r="G28" s="4">
        <v>74.5</v>
      </c>
      <c r="H28" s="4">
        <v>60</v>
      </c>
      <c r="I28" s="4" t="s">
        <v>263</v>
      </c>
      <c r="J28" s="4">
        <v>25</v>
      </c>
      <c r="K28" s="28" t="s">
        <v>766</v>
      </c>
      <c r="L28" s="4">
        <v>93</v>
      </c>
      <c r="M28" s="4" t="s">
        <v>223</v>
      </c>
      <c r="N28" s="4">
        <v>70.599999999999994</v>
      </c>
      <c r="O28" s="4">
        <v>48</v>
      </c>
      <c r="P28" s="29">
        <f>SUM((IF(C28&lt;32.4,1,0))+(IF(D28&gt;=8.12,1,0))+(IF(E28&lt;95,1,0))+(IF(F28&lt;30,1,0))+IF(OR(G28&lt;80,H28&gt;50),1,0)
+(IF(I28="Chưa đạt chuẩn",1,0))+(IF(J28&lt;50,1,0))+(IF(OR( IFERROR(--TRIM(MID(K28, FIND("Nội trú:", K28)+8, FIND(";",K28&amp;";", FIND("Nội trú:", K28))-FIND("Nội trú:", K28)-8))&gt;=20, FALSE), IFERROR(--TRIM(MID(K28, FIND("Bán trú:", K28)+8, FIND(";", K28&amp;";", FIND("Bán trú:", K28))-FIND("Bán trú:",K28)-8))&gt;=40, FALSE)), 1, 0))+(IF(L28&lt;50,1,0))+IF(OR(M28="chưa có",M28="có nhưng chưa đạt chuẩn"),1,0)+(IF(N28&lt;95,1,0))+(IF(O28&lt;50,1,0)))</f>
        <v>10</v>
      </c>
      <c r="Q28" s="30">
        <f>6/17*100</f>
        <v>35.294117647058826</v>
      </c>
      <c r="R28" s="4" t="str">
        <f t="shared" si="5"/>
        <v>III</v>
      </c>
      <c r="S28" s="145">
        <v>45.3</v>
      </c>
      <c r="T28" s="149">
        <v>12.379110251450676</v>
      </c>
      <c r="U28" s="149">
        <v>84.100580270793031</v>
      </c>
      <c r="V28" s="145">
        <v>20.9</v>
      </c>
      <c r="W28" s="145">
        <v>100</v>
      </c>
      <c r="X28" s="145">
        <v>60</v>
      </c>
      <c r="Y28" s="145" t="s">
        <v>263</v>
      </c>
      <c r="Z28" s="150">
        <v>40</v>
      </c>
      <c r="AA28" s="145" t="s">
        <v>1225</v>
      </c>
      <c r="AB28" s="145">
        <v>93</v>
      </c>
      <c r="AC28" s="145" t="s">
        <v>223</v>
      </c>
      <c r="AD28" s="145">
        <v>88</v>
      </c>
      <c r="AE28" s="145">
        <v>68.88</v>
      </c>
      <c r="AF28" s="59">
        <f t="shared" si="2"/>
        <v>8</v>
      </c>
      <c r="AG28" s="30">
        <f>6/17*100</f>
        <v>35.294117647058826</v>
      </c>
      <c r="AH28" s="4" t="str">
        <f t="shared" si="3"/>
        <v>III</v>
      </c>
      <c r="AI28" s="24"/>
      <c r="AJ28" s="47"/>
      <c r="AK28" s="31">
        <f t="shared" si="0"/>
        <v>0</v>
      </c>
      <c r="AL28" s="31">
        <f t="shared" si="1"/>
        <v>0</v>
      </c>
      <c r="AM28" s="31" t="e">
        <f>P28-#REF!</f>
        <v>#REF!</v>
      </c>
    </row>
    <row r="29" spans="1:39" ht="45" x14ac:dyDescent="0.25">
      <c r="A29" s="27">
        <v>23</v>
      </c>
      <c r="B29" s="2" t="s">
        <v>70</v>
      </c>
      <c r="C29" s="4">
        <v>49.2</v>
      </c>
      <c r="D29" s="4">
        <v>6.97</v>
      </c>
      <c r="E29" s="17">
        <v>83.79</v>
      </c>
      <c r="F29" s="4">
        <v>0</v>
      </c>
      <c r="G29" s="4">
        <v>100</v>
      </c>
      <c r="H29" s="4">
        <v>34.26</v>
      </c>
      <c r="I29" s="4" t="s">
        <v>263</v>
      </c>
      <c r="J29" s="4">
        <v>75</v>
      </c>
      <c r="K29" s="28" t="s">
        <v>426</v>
      </c>
      <c r="L29" s="4">
        <v>96.71</v>
      </c>
      <c r="M29" s="4" t="s">
        <v>223</v>
      </c>
      <c r="N29" s="4">
        <v>89.6</v>
      </c>
      <c r="O29" s="4">
        <v>85</v>
      </c>
      <c r="P29" s="29">
        <f>SUM((IF(C29&lt;32.4,1,0))+(IF(D29&gt;=8.12,1,0))+(IF(E29&lt;95,1,0))+(IF(F29&lt;30,1,0))+IF(OR(G29&lt;80,H29&gt;50),1,0)
+(IF(I29="Chưa đạt chuẩn",1,0))+(IF(J29&lt;50,1,0))+(IF(OR( IFERROR(--TRIM(MID(K29, FIND("Nội trú:", K29)+8, FIND(";",K29&amp;";", FIND("Nội trú:", K29))-FIND("Nội trú:", K29)-8))&gt;=20, FALSE), IFERROR(--TRIM(MID(K29, FIND("Bán trú:", K29)+8, FIND(";", K29&amp;";", FIND("Bán trú:", K29))-FIND("Bán trú:",K29)-8))&gt;=40, FALSE)), 1, 0))+(IF(L29&lt;50,1,0))+IF(OR(M29="chưa có",M29="có nhưng chưa đạt chuẩn"),1,0)+(IF(N29&lt;95,1,0))+(IF(O29&lt;50,1,0)))</f>
        <v>4</v>
      </c>
      <c r="Q29" s="30">
        <f>5/10*100</f>
        <v>50</v>
      </c>
      <c r="R29" s="4" t="str">
        <f t="shared" si="5"/>
        <v>III</v>
      </c>
      <c r="S29" s="145">
        <v>49.2</v>
      </c>
      <c r="T29" s="149">
        <v>7.8</v>
      </c>
      <c r="U29" s="149">
        <v>83.79424778761063</v>
      </c>
      <c r="V29" s="145">
        <v>17.600000000000001</v>
      </c>
      <c r="W29" s="145">
        <v>72.099999999999994</v>
      </c>
      <c r="X29" s="145">
        <v>24.5</v>
      </c>
      <c r="Y29" s="145" t="s">
        <v>263</v>
      </c>
      <c r="Z29" s="150">
        <v>100</v>
      </c>
      <c r="AA29" s="145" t="s">
        <v>265</v>
      </c>
      <c r="AB29" s="145">
        <v>96.7</v>
      </c>
      <c r="AC29" s="145" t="s">
        <v>208</v>
      </c>
      <c r="AD29" s="145">
        <v>90</v>
      </c>
      <c r="AE29" s="145">
        <v>85.641999999999996</v>
      </c>
      <c r="AF29" s="59">
        <f t="shared" si="2"/>
        <v>4</v>
      </c>
      <c r="AG29" s="30">
        <f>5/10*100</f>
        <v>50</v>
      </c>
      <c r="AH29" s="4" t="str">
        <f t="shared" si="3"/>
        <v>III</v>
      </c>
      <c r="AI29" s="24"/>
      <c r="AJ29" s="47"/>
      <c r="AK29" s="31">
        <f t="shared" si="0"/>
        <v>-17.600000000000001</v>
      </c>
      <c r="AL29" s="31">
        <f t="shared" si="1"/>
        <v>9.9999999999909051E-3</v>
      </c>
      <c r="AM29" s="31" t="e">
        <f>P29-#REF!</f>
        <v>#REF!</v>
      </c>
    </row>
    <row r="30" spans="1:39" ht="45" x14ac:dyDescent="0.25">
      <c r="A30" s="27">
        <v>24</v>
      </c>
      <c r="B30" s="2" t="s">
        <v>71</v>
      </c>
      <c r="C30" s="4">
        <v>43.5</v>
      </c>
      <c r="D30" s="4">
        <v>4.4000000000000004</v>
      </c>
      <c r="E30" s="17">
        <v>97</v>
      </c>
      <c r="F30" s="4">
        <v>96.9</v>
      </c>
      <c r="G30" s="4">
        <v>50</v>
      </c>
      <c r="H30" s="4">
        <v>30</v>
      </c>
      <c r="I30" s="4" t="s">
        <v>263</v>
      </c>
      <c r="J30" s="4">
        <v>100</v>
      </c>
      <c r="K30" s="28" t="s">
        <v>426</v>
      </c>
      <c r="L30" s="4">
        <v>50</v>
      </c>
      <c r="M30" s="4" t="s">
        <v>209</v>
      </c>
      <c r="N30" s="4">
        <v>94</v>
      </c>
      <c r="O30" s="4">
        <v>93.14</v>
      </c>
      <c r="P30" s="29">
        <f>SUM((IF(C30&lt;32.4,1,0))+(IF(D30&gt;=8.12,1,0))+(IF(E30&lt;95,1,0))+(IF(F30&lt;30,1,0))+IF(OR(G30&lt;80,H30&gt;50),1,0)
+(IF(I30="Chưa đạt chuẩn",1,0))+(IF(J30&lt;50,1,0))+(IF(OR( IFERROR(--TRIM(MID(K30, FIND("Nội trú:", K30)+8, FIND(";",K30&amp;";", FIND("Nội trú:", K30))-FIND("Nội trú:", K30)-8))&gt;=20, FALSE), IFERROR(--TRIM(MID(K30, FIND("Bán trú:", K30)+8, FIND(";", K30&amp;";", FIND("Bán trú:", K30))-FIND("Bán trú:",K30)-8))&gt;=40, FALSE)), 1, 0))+(IF(L30&lt;50,1,0))+IF(OR(M30="chưa có",M30="có nhưng chưa đạt chuẩn"),1,0)+(IF(N30&lt;95,1,0))+(IF(O30&lt;50,1,0)))</f>
        <v>3</v>
      </c>
      <c r="Q30" s="30">
        <f>3/17*100</f>
        <v>17.647058823529413</v>
      </c>
      <c r="R30" s="4" t="str">
        <f t="shared" si="5"/>
        <v>II</v>
      </c>
      <c r="S30" s="145">
        <v>46.5</v>
      </c>
      <c r="T30" s="149">
        <v>6.6300000000000008</v>
      </c>
      <c r="U30" s="149">
        <v>94.425511197663099</v>
      </c>
      <c r="V30" s="145">
        <v>17.600000000000001</v>
      </c>
      <c r="W30" s="145">
        <v>100</v>
      </c>
      <c r="X30" s="145">
        <v>30</v>
      </c>
      <c r="Y30" s="145" t="s">
        <v>263</v>
      </c>
      <c r="Z30" s="150">
        <v>100</v>
      </c>
      <c r="AA30" s="145" t="s">
        <v>1226</v>
      </c>
      <c r="AB30" s="145">
        <v>50</v>
      </c>
      <c r="AC30" s="145" t="s">
        <v>208</v>
      </c>
      <c r="AD30" s="145">
        <v>88.2</v>
      </c>
      <c r="AE30" s="145">
        <v>76.704999999999998</v>
      </c>
      <c r="AF30" s="59">
        <f t="shared" si="2"/>
        <v>4</v>
      </c>
      <c r="AG30" s="30">
        <f>3/17*100</f>
        <v>17.647058823529413</v>
      </c>
      <c r="AH30" s="4" t="str">
        <f t="shared" si="3"/>
        <v>II</v>
      </c>
      <c r="AI30" s="24"/>
      <c r="AJ30" s="47"/>
      <c r="AK30" s="31">
        <f t="shared" si="0"/>
        <v>79.300000000000011</v>
      </c>
      <c r="AL30" s="31">
        <f t="shared" si="1"/>
        <v>0</v>
      </c>
      <c r="AM30" s="31" t="e">
        <f>P30-#REF!</f>
        <v>#REF!</v>
      </c>
    </row>
    <row r="31" spans="1:39" ht="45" x14ac:dyDescent="0.25">
      <c r="A31" s="27">
        <v>25</v>
      </c>
      <c r="B31" s="2" t="s">
        <v>72</v>
      </c>
      <c r="C31" s="4">
        <v>53.8</v>
      </c>
      <c r="D31" s="4">
        <v>8.1999999999999993</v>
      </c>
      <c r="E31" s="17">
        <v>88.57</v>
      </c>
      <c r="F31" s="4">
        <v>36</v>
      </c>
      <c r="G31" s="4">
        <v>72.599999999999994</v>
      </c>
      <c r="H31" s="4">
        <v>35</v>
      </c>
      <c r="I31" s="4" t="s">
        <v>263</v>
      </c>
      <c r="J31" s="4">
        <v>83.3</v>
      </c>
      <c r="K31" s="28" t="s">
        <v>984</v>
      </c>
      <c r="L31" s="4">
        <v>100</v>
      </c>
      <c r="M31" s="4" t="s">
        <v>223</v>
      </c>
      <c r="N31" s="4">
        <v>81</v>
      </c>
      <c r="O31" s="4">
        <v>77.900000000000006</v>
      </c>
      <c r="P31" s="29">
        <f>SUM((IF(C31&lt;32.4,1,0))+(IF(D31&gt;=8.12,1,0))+(IF(E31&lt;95,1,0))+(IF(F31&lt;30,1,0))+IF(OR(G31&lt;80,H31&gt;50),1,0)+(IF(I31="Chưa đạt chuẩn",1,0))+(IF(J31&lt;50,1,0))+(IF(L31&lt;50,1,0))+IF(OR(M31="chưa có",M31="có nhưng chưa đạt chuẩn"),1,0)+(IF(N31&lt;95,1,0))+(IF(O31&lt;50,1,0)))</f>
        <v>5</v>
      </c>
      <c r="Q31" s="30">
        <f>9/21*100</f>
        <v>42.857142857142854</v>
      </c>
      <c r="R31" s="4" t="str">
        <f>IF(P31&lt;3,"I",IF(AND(P31&gt;=3,P31&lt;=5,NOT(OR(P31&gt;=6,AND(P31&gt;=3,Q31&gt;=50)))),"II","III"))</f>
        <v>II</v>
      </c>
      <c r="S31" s="145">
        <v>49.5</v>
      </c>
      <c r="T31" s="149">
        <v>8.26</v>
      </c>
      <c r="U31" s="149">
        <v>86.62239089184061</v>
      </c>
      <c r="V31" s="145">
        <v>13.9</v>
      </c>
      <c r="W31" s="145">
        <v>100</v>
      </c>
      <c r="X31" s="145">
        <v>35</v>
      </c>
      <c r="Y31" s="145" t="s">
        <v>263</v>
      </c>
      <c r="Z31" s="150">
        <v>66.666666666666671</v>
      </c>
      <c r="AA31" s="145" t="s">
        <v>1227</v>
      </c>
      <c r="AB31" s="145">
        <v>100</v>
      </c>
      <c r="AC31" s="145" t="s">
        <v>208</v>
      </c>
      <c r="AD31" s="145">
        <v>100</v>
      </c>
      <c r="AE31" s="145">
        <v>71.626999999999995</v>
      </c>
      <c r="AF31" s="59">
        <f t="shared" si="2"/>
        <v>3</v>
      </c>
      <c r="AG31" s="30">
        <f>9/21*100</f>
        <v>42.857142857142854</v>
      </c>
      <c r="AH31" s="4" t="str">
        <f t="shared" si="3"/>
        <v>II</v>
      </c>
      <c r="AI31" s="24"/>
      <c r="AJ31" s="47"/>
      <c r="AK31" s="31">
        <f t="shared" si="0"/>
        <v>22.1</v>
      </c>
      <c r="AL31" s="31">
        <f t="shared" si="1"/>
        <v>0</v>
      </c>
      <c r="AM31" s="31" t="e">
        <f>P31-#REF!</f>
        <v>#REF!</v>
      </c>
    </row>
    <row r="32" spans="1:39" ht="45" x14ac:dyDescent="0.25">
      <c r="A32" s="27">
        <v>26</v>
      </c>
      <c r="B32" s="2" t="s">
        <v>73</v>
      </c>
      <c r="C32" s="4">
        <v>62</v>
      </c>
      <c r="D32" s="4">
        <v>4.38</v>
      </c>
      <c r="E32" s="17">
        <v>100</v>
      </c>
      <c r="F32" s="4">
        <v>42</v>
      </c>
      <c r="G32" s="4">
        <v>100</v>
      </c>
      <c r="H32" s="4">
        <v>0</v>
      </c>
      <c r="I32" s="4" t="s">
        <v>263</v>
      </c>
      <c r="J32" s="4">
        <v>100</v>
      </c>
      <c r="K32" s="28" t="s">
        <v>984</v>
      </c>
      <c r="L32" s="4">
        <v>100</v>
      </c>
      <c r="M32" s="4" t="s">
        <v>223</v>
      </c>
      <c r="N32" s="4">
        <v>100</v>
      </c>
      <c r="O32" s="4">
        <v>85</v>
      </c>
      <c r="P32" s="29">
        <f>SUM((IF(C32&lt;32.4,1,0))+(IF(D32&gt;=8.12,1,0))+(IF(E32&lt;95,1,0))+(IF(F32&lt;30,1,0))+IF(OR(G32&lt;80,H32&gt;50),1,0)+(IF(I32="Chưa đạt chuẩn",1,0))+(IF(J32&lt;50,1,0))+(IF(L32&lt;50,1,0))+IF(OR(M32="chưa có",M32="có nhưng chưa đạt chuẩn"),1,0)+(IF(N32&lt;95,1,0))+(IF(O32&lt;50,1,0)))</f>
        <v>1</v>
      </c>
      <c r="Q32" s="30">
        <f>0/26*100</f>
        <v>0</v>
      </c>
      <c r="R32" s="4" t="str">
        <f t="shared" si="5"/>
        <v>I</v>
      </c>
      <c r="S32" s="145">
        <v>61.5</v>
      </c>
      <c r="T32" s="149">
        <v>4.38</v>
      </c>
      <c r="U32" s="149">
        <v>90.105561682684737</v>
      </c>
      <c r="V32" s="145">
        <v>20</v>
      </c>
      <c r="W32" s="145">
        <v>100</v>
      </c>
      <c r="X32" s="145">
        <v>0</v>
      </c>
      <c r="Y32" s="145" t="s">
        <v>263</v>
      </c>
      <c r="Z32" s="150">
        <v>100</v>
      </c>
      <c r="AA32" s="145" t="s">
        <v>984</v>
      </c>
      <c r="AB32" s="145">
        <v>100</v>
      </c>
      <c r="AC32" s="145" t="s">
        <v>208</v>
      </c>
      <c r="AD32" s="145">
        <v>100</v>
      </c>
      <c r="AE32" s="145">
        <v>84.12</v>
      </c>
      <c r="AF32" s="59">
        <f t="shared" si="2"/>
        <v>2</v>
      </c>
      <c r="AG32" s="30">
        <f>0/26*100</f>
        <v>0</v>
      </c>
      <c r="AH32" s="4" t="str">
        <f t="shared" si="3"/>
        <v>I</v>
      </c>
      <c r="AI32" s="24"/>
      <c r="AJ32" s="47"/>
      <c r="AK32" s="31">
        <f t="shared" si="0"/>
        <v>22</v>
      </c>
      <c r="AL32" s="31">
        <f t="shared" si="1"/>
        <v>0</v>
      </c>
      <c r="AM32" s="31" t="e">
        <f>P32-#REF!</f>
        <v>#REF!</v>
      </c>
    </row>
    <row r="33" spans="1:39" ht="45" x14ac:dyDescent="0.25">
      <c r="A33" s="27">
        <v>27</v>
      </c>
      <c r="B33" s="2" t="s">
        <v>146</v>
      </c>
      <c r="C33" s="4">
        <v>50.9</v>
      </c>
      <c r="D33" s="4">
        <v>6.48</v>
      </c>
      <c r="E33" s="17">
        <v>82</v>
      </c>
      <c r="F33" s="4">
        <v>19.02</v>
      </c>
      <c r="G33" s="4">
        <v>89.6</v>
      </c>
      <c r="H33" s="4">
        <v>57.8</v>
      </c>
      <c r="I33" s="4" t="s">
        <v>263</v>
      </c>
      <c r="J33" s="4">
        <v>100</v>
      </c>
      <c r="K33" s="28" t="s">
        <v>265</v>
      </c>
      <c r="L33" s="4">
        <v>100</v>
      </c>
      <c r="M33" s="4" t="s">
        <v>223</v>
      </c>
      <c r="N33" s="4">
        <v>92.85</v>
      </c>
      <c r="O33" s="4">
        <v>79.8</v>
      </c>
      <c r="P33" s="29">
        <f>SUM((IF(C33&lt;32.4,1,0))+(IF(D33&gt;=8.12,1,0))+(IF(E33&lt;95,1,0))+(IF(F33&lt;30,1,0))+IF(OR(G33&lt;80,H33&gt;50),1,0)+(IF(I33="Chưa đạt chuẩn",1,0))+(IF(J33&lt;50,1,0))+(IF(L33&lt;50,1,0))+IF(OR(M33="chưa có",M33="có nhưng chưa đạt chuẩn"),1,0)+(IF(N33&lt;95,1,0))+(IF(O33&lt;50,1,0)))</f>
        <v>5</v>
      </c>
      <c r="Q33" s="30">
        <f>8/14*100</f>
        <v>57.142857142857139</v>
      </c>
      <c r="R33" s="4" t="str">
        <f t="shared" si="5"/>
        <v>III</v>
      </c>
      <c r="S33" s="145">
        <v>50.9</v>
      </c>
      <c r="T33" s="149">
        <v>6.4799999999999995</v>
      </c>
      <c r="U33" s="149">
        <v>85.735906167234205</v>
      </c>
      <c r="V33" s="145">
        <v>21.6</v>
      </c>
      <c r="W33" s="145">
        <v>97.1</v>
      </c>
      <c r="X33" s="145">
        <v>57.8</v>
      </c>
      <c r="Y33" s="145" t="s">
        <v>263</v>
      </c>
      <c r="Z33" s="150">
        <v>100</v>
      </c>
      <c r="AA33" s="145" t="s">
        <v>265</v>
      </c>
      <c r="AB33" s="145">
        <v>100</v>
      </c>
      <c r="AC33" s="145" t="s">
        <v>208</v>
      </c>
      <c r="AD33" s="145">
        <v>92</v>
      </c>
      <c r="AE33" s="145">
        <v>79.599999999999994</v>
      </c>
      <c r="AF33" s="59">
        <f t="shared" si="2"/>
        <v>4</v>
      </c>
      <c r="AG33" s="30">
        <f>8/14*100</f>
        <v>57.142857142857139</v>
      </c>
      <c r="AH33" s="4" t="str">
        <f t="shared" si="3"/>
        <v>III</v>
      </c>
      <c r="AI33" s="24"/>
      <c r="AJ33" s="47"/>
      <c r="AK33" s="31">
        <f t="shared" si="0"/>
        <v>-2.5800000000000018</v>
      </c>
      <c r="AL33" s="31">
        <f t="shared" si="1"/>
        <v>0</v>
      </c>
      <c r="AM33" s="31" t="e">
        <f>P33-#REF!</f>
        <v>#REF!</v>
      </c>
    </row>
    <row r="34" spans="1:39" ht="45" x14ac:dyDescent="0.25">
      <c r="A34" s="27">
        <v>28</v>
      </c>
      <c r="B34" s="2" t="s">
        <v>74</v>
      </c>
      <c r="C34" s="4">
        <v>63.8</v>
      </c>
      <c r="D34" s="4">
        <v>4.3099999999999996</v>
      </c>
      <c r="E34" s="17">
        <v>100</v>
      </c>
      <c r="F34" s="4">
        <v>36.18</v>
      </c>
      <c r="G34" s="4">
        <v>89</v>
      </c>
      <c r="H34" s="4">
        <v>11</v>
      </c>
      <c r="I34" s="4" t="s">
        <v>263</v>
      </c>
      <c r="J34" s="4">
        <v>100</v>
      </c>
      <c r="K34" s="28" t="s">
        <v>938</v>
      </c>
      <c r="L34" s="4">
        <v>95.7</v>
      </c>
      <c r="M34" s="4" t="s">
        <v>209</v>
      </c>
      <c r="N34" s="4">
        <v>100</v>
      </c>
      <c r="O34" s="4">
        <v>95.38</v>
      </c>
      <c r="P34" s="29">
        <f>SUM((IF(C34&lt;32.4,1,0))+(IF(D34&gt;=8.12,1,0))+(IF(E34&lt;95,1,0))+(IF(F34&lt;30,1,0))+IF(OR(G34&lt;80,H34&gt;50),1,0)
+(IF(I34="Chưa đạt chuẩn",1,0))+(IF(J34&lt;50,1,0))+(IF(OR( IFERROR(--TRIM(MID(K34, FIND("Nội trú:", K34)+8, FIND(";",K34&amp;";", FIND("Nội trú:", K34))-FIND("Nội trú:", K34)-8))&gt;=20, FALSE), IFERROR(--TRIM(MID(K34, FIND("Bán trú:", K34)+8, FIND(";", K34&amp;";", FIND("Bán trú:", K34))-FIND("Bán trú:",K34)-8))&gt;=40, FALSE)), 1, 0))+(IF(L34&lt;50,1,0))+IF(OR(M34="chưa có",M34="có nhưng chưa đạt chuẩn"),1,0)+(IF(N34&lt;95,1,0))+(IF(O34&lt;50,1,0)))</f>
        <v>2</v>
      </c>
      <c r="Q34" s="30">
        <f>0/41*100</f>
        <v>0</v>
      </c>
      <c r="R34" s="4" t="str">
        <f t="shared" si="5"/>
        <v>I</v>
      </c>
      <c r="S34" s="145">
        <v>63.8</v>
      </c>
      <c r="T34" s="149">
        <v>3.86</v>
      </c>
      <c r="U34" s="149">
        <v>94.617972128784245</v>
      </c>
      <c r="V34" s="145">
        <v>31.5</v>
      </c>
      <c r="W34" s="145">
        <v>100</v>
      </c>
      <c r="X34" s="145">
        <v>0</v>
      </c>
      <c r="Y34" s="145" t="s">
        <v>263</v>
      </c>
      <c r="Z34" s="150">
        <v>100</v>
      </c>
      <c r="AA34" s="145" t="s">
        <v>1228</v>
      </c>
      <c r="AB34" s="145">
        <v>95.7</v>
      </c>
      <c r="AC34" s="145" t="s">
        <v>208</v>
      </c>
      <c r="AD34" s="145">
        <v>100</v>
      </c>
      <c r="AE34" s="145">
        <v>93.62</v>
      </c>
      <c r="AF34" s="59">
        <f t="shared" si="2"/>
        <v>2</v>
      </c>
      <c r="AG34" s="30">
        <f>0/41*100</f>
        <v>0</v>
      </c>
      <c r="AH34" s="4" t="str">
        <f t="shared" si="3"/>
        <v>I</v>
      </c>
      <c r="AI34" s="24"/>
      <c r="AJ34" s="47"/>
      <c r="AK34" s="31">
        <f t="shared" si="0"/>
        <v>4.68</v>
      </c>
      <c r="AL34" s="31">
        <f t="shared" si="1"/>
        <v>0</v>
      </c>
      <c r="AM34" s="31" t="e">
        <f>P34-#REF!</f>
        <v>#REF!</v>
      </c>
    </row>
    <row r="35" spans="1:39" ht="45" x14ac:dyDescent="0.25">
      <c r="A35" s="27">
        <v>29</v>
      </c>
      <c r="B35" s="2" t="s">
        <v>75</v>
      </c>
      <c r="C35" s="4">
        <v>60.2</v>
      </c>
      <c r="D35" s="4">
        <v>4.75</v>
      </c>
      <c r="E35" s="17">
        <v>99.37</v>
      </c>
      <c r="F35" s="4">
        <v>0</v>
      </c>
      <c r="G35" s="4">
        <v>100</v>
      </c>
      <c r="H35" s="4">
        <v>15</v>
      </c>
      <c r="I35" s="4" t="s">
        <v>263</v>
      </c>
      <c r="J35" s="4">
        <v>100</v>
      </c>
      <c r="K35" s="28" t="s">
        <v>426</v>
      </c>
      <c r="L35" s="4">
        <v>89.9</v>
      </c>
      <c r="M35" s="4" t="s">
        <v>209</v>
      </c>
      <c r="N35" s="4" t="s">
        <v>319</v>
      </c>
      <c r="O35" s="4" t="s">
        <v>320</v>
      </c>
      <c r="P35" s="29">
        <f>SUM((IF(C35&lt;32.4,1,0))+(IF(D35&gt;=8.12,1,0))+(IF(E35&lt;95,1,0))+(IF(F35&lt;30,1,0))+IF(OR(G35&lt;80,H35&gt;50),1,0)
+(IF(I35="Chưa đạt chuẩn",1,0))+(IF(J35&lt;50,1,0))+(IF(OR( IFERROR(--TRIM(MID(K35, FIND("Nội trú:", K35)+8, FIND(";",K35&amp;";", FIND("Nội trú:", K35))-FIND("Nội trú:", K35)-8))&gt;=20, FALSE), IFERROR(--TRIM(MID(K35, FIND("Bán trú:", K35)+8, FIND(";", K35&amp;";", FIND("Bán trú:", K35))-FIND("Bán trú:",K35)-8))&gt;=40, FALSE)), 1, 0))+(IF(L35&lt;50,1,0))+IF(OR(M35="chưa có",M35="có nhưng chưa đạt chuẩn"),1,0)+(IF(N35&lt;95,1,0))+(IF(O35&lt;50,1,0)))</f>
        <v>2</v>
      </c>
      <c r="Q35" s="30">
        <f>0/28*100</f>
        <v>0</v>
      </c>
      <c r="R35" s="4" t="str">
        <f t="shared" si="5"/>
        <v>I</v>
      </c>
      <c r="S35" s="145">
        <v>64.8</v>
      </c>
      <c r="T35" s="149">
        <v>6.6999999999999993</v>
      </c>
      <c r="U35" s="149">
        <v>97.007407407407413</v>
      </c>
      <c r="V35" s="145">
        <v>14.4</v>
      </c>
      <c r="W35" s="145">
        <v>100</v>
      </c>
      <c r="X35" s="145">
        <v>15</v>
      </c>
      <c r="Y35" s="145" t="s">
        <v>263</v>
      </c>
      <c r="Z35" s="150">
        <v>100</v>
      </c>
      <c r="AA35" s="145" t="s">
        <v>265</v>
      </c>
      <c r="AB35" s="145">
        <v>89.9</v>
      </c>
      <c r="AC35" s="145" t="s">
        <v>208</v>
      </c>
      <c r="AD35" s="145">
        <v>100</v>
      </c>
      <c r="AE35" s="145">
        <v>90.415000000000006</v>
      </c>
      <c r="AF35" s="59">
        <f t="shared" si="2"/>
        <v>1</v>
      </c>
      <c r="AG35" s="30">
        <f>0/28*100</f>
        <v>0</v>
      </c>
      <c r="AH35" s="4" t="str">
        <f t="shared" si="3"/>
        <v>I</v>
      </c>
      <c r="AI35" s="24"/>
      <c r="AJ35" s="47"/>
      <c r="AK35" s="31">
        <f t="shared" si="0"/>
        <v>-14.4</v>
      </c>
      <c r="AL35" s="31">
        <f t="shared" si="1"/>
        <v>0</v>
      </c>
      <c r="AM35" s="31" t="e">
        <f>P35-#REF!</f>
        <v>#REF!</v>
      </c>
    </row>
    <row r="36" spans="1:39" ht="45" x14ac:dyDescent="0.25">
      <c r="A36" s="27">
        <v>30</v>
      </c>
      <c r="B36" s="2" t="s">
        <v>76</v>
      </c>
      <c r="C36" s="4">
        <v>44.6</v>
      </c>
      <c r="D36" s="4">
        <v>13.51</v>
      </c>
      <c r="E36" s="17">
        <v>79.900000000000006</v>
      </c>
      <c r="F36" s="4">
        <v>53</v>
      </c>
      <c r="G36" s="4">
        <v>59.6</v>
      </c>
      <c r="H36" s="4">
        <v>12.5</v>
      </c>
      <c r="I36" s="4" t="s">
        <v>263</v>
      </c>
      <c r="J36" s="4">
        <v>100</v>
      </c>
      <c r="K36" s="28" t="s">
        <v>1030</v>
      </c>
      <c r="L36" s="4">
        <v>75</v>
      </c>
      <c r="M36" s="4" t="s">
        <v>209</v>
      </c>
      <c r="N36" s="4">
        <v>50</v>
      </c>
      <c r="O36" s="4">
        <v>68.599999999999994</v>
      </c>
      <c r="P36" s="29">
        <f>SUM((IF(C36&lt;32.4,1,0))+(IF(D36&gt;=8.12,1,0))+(IF(E36&lt;95,1,0))+(IF(F36&lt;30,1,0))+IF(OR(G36&lt;80,H36&gt;50),1,0)
+(IF(I36="Chưa đạt chuẩn",1,0))+(IF(J36&lt;50,1,0))+(IF(OR( IFERROR(--TRIM(MID(K36, FIND("Nội trú:", K36)+8, FIND(";",K36&amp;";", FIND("Nội trú:", K36))-FIND("Nội trú:", K36)-8))&gt;=20, FALSE), IFERROR(--TRIM(MID(K36, FIND("Bán trú:", K36)+8, FIND(";", K36&amp;";", FIND("Bán trú:", K36))-FIND("Bán trú:",K36)-8))&gt;=40, FALSE)), 1, 0))+(IF(L36&lt;50,1,0))+IF(OR(M36="chưa có",M36="có nhưng chưa đạt chuẩn"),1,0)+(IF(N36&lt;95,1,0))+(IF(O36&lt;50,1,0)))</f>
        <v>5</v>
      </c>
      <c r="Q36" s="30">
        <f>14/16*100</f>
        <v>87.5</v>
      </c>
      <c r="R36" s="4" t="str">
        <f t="shared" si="5"/>
        <v>III</v>
      </c>
      <c r="S36" s="145">
        <v>43.1</v>
      </c>
      <c r="T36" s="149">
        <v>17.07</v>
      </c>
      <c r="U36" s="149">
        <v>62.944904924427107</v>
      </c>
      <c r="V36" s="145">
        <v>13.2</v>
      </c>
      <c r="W36" s="145">
        <v>59.6</v>
      </c>
      <c r="X36" s="145">
        <v>12.5</v>
      </c>
      <c r="Y36" s="145" t="s">
        <v>263</v>
      </c>
      <c r="Z36" s="150">
        <v>100</v>
      </c>
      <c r="AA36" s="145" t="s">
        <v>1229</v>
      </c>
      <c r="AB36" s="145">
        <v>75</v>
      </c>
      <c r="AC36" s="145" t="s">
        <v>208</v>
      </c>
      <c r="AD36" s="145">
        <v>93.7</v>
      </c>
      <c r="AE36" s="145">
        <v>44.805</v>
      </c>
      <c r="AF36" s="59">
        <f t="shared" si="2"/>
        <v>7</v>
      </c>
      <c r="AG36" s="30">
        <f>14/16*100</f>
        <v>87.5</v>
      </c>
      <c r="AH36" s="4" t="str">
        <f t="shared" si="3"/>
        <v>III</v>
      </c>
      <c r="AI36" s="24"/>
      <c r="AJ36" s="47"/>
      <c r="AK36" s="31">
        <f t="shared" si="0"/>
        <v>39.799999999999997</v>
      </c>
      <c r="AL36" s="31">
        <f t="shared" si="1"/>
        <v>0</v>
      </c>
      <c r="AM36" s="31" t="e">
        <f>P36-#REF!</f>
        <v>#REF!</v>
      </c>
    </row>
    <row r="37" spans="1:39" ht="45" x14ac:dyDescent="0.25">
      <c r="A37" s="27">
        <v>31</v>
      </c>
      <c r="B37" s="2" t="s">
        <v>77</v>
      </c>
      <c r="C37" s="4">
        <v>45</v>
      </c>
      <c r="D37" s="4">
        <v>3.98</v>
      </c>
      <c r="E37" s="17">
        <v>83.72</v>
      </c>
      <c r="F37" s="4">
        <v>27</v>
      </c>
      <c r="G37" s="4">
        <v>75</v>
      </c>
      <c r="H37" s="4">
        <v>25</v>
      </c>
      <c r="I37" s="4" t="s">
        <v>263</v>
      </c>
      <c r="J37" s="4">
        <v>100</v>
      </c>
      <c r="K37" s="28" t="s">
        <v>993</v>
      </c>
      <c r="L37" s="4">
        <v>91</v>
      </c>
      <c r="M37" s="4" t="s">
        <v>223</v>
      </c>
      <c r="N37" s="4">
        <v>87.5</v>
      </c>
      <c r="O37" s="4">
        <v>47</v>
      </c>
      <c r="P37" s="29">
        <f>SUM((IF(C37&lt;32.4,1,0))+(IF(D37&gt;=8.12,1,0))+(IF(E37&lt;95,1,0))+(IF(F37&lt;30,1,0))+IF(OR(G37&lt;80,H37&gt;50),1,0)
+(IF(I37="Chưa đạt chuẩn",1,0))+(IF(J37&lt;50,1,0))+(IF(OR( IFERROR(--TRIM(MID(K37, FIND("Nội trú:", K37)+8, FIND(";",K37&amp;";", FIND("Nội trú:", K37))-FIND("Nội trú:", K37)-8))&gt;=20, FALSE), IFERROR(--TRIM(MID(K37, FIND("Bán trú:", K37)+8, FIND(";", K37&amp;";", FIND("Bán trú:", K37))-FIND("Bán trú:",K37)-8))&gt;=40, FALSE)), 1, 0))+(IF(L37&lt;50,1,0))+IF(OR(M37="chưa có",M37="có nhưng chưa đạt chuẩn"),1,0)+(IF(N37&lt;95,1,0))+(IF(O37&lt;50,1,0)))</f>
        <v>6</v>
      </c>
      <c r="Q37" s="30">
        <f>7/8*100</f>
        <v>87.5</v>
      </c>
      <c r="R37" s="4" t="str">
        <f t="shared" si="5"/>
        <v>III</v>
      </c>
      <c r="S37" s="145">
        <v>47.2</v>
      </c>
      <c r="T37" s="149">
        <v>7.9040225829216659</v>
      </c>
      <c r="U37" s="149">
        <v>85.284499672988886</v>
      </c>
      <c r="V37" s="145">
        <v>4.2</v>
      </c>
      <c r="W37" s="145">
        <v>100</v>
      </c>
      <c r="X37" s="145">
        <v>25</v>
      </c>
      <c r="Y37" s="145" t="s">
        <v>263</v>
      </c>
      <c r="Z37" s="150">
        <v>100</v>
      </c>
      <c r="AA37" s="145" t="s">
        <v>265</v>
      </c>
      <c r="AB37" s="145">
        <v>91</v>
      </c>
      <c r="AC37" s="145" t="s">
        <v>223</v>
      </c>
      <c r="AD37" s="145">
        <v>87.4</v>
      </c>
      <c r="AE37" s="145">
        <v>65.58</v>
      </c>
      <c r="AF37" s="59">
        <f t="shared" si="2"/>
        <v>4</v>
      </c>
      <c r="AG37" s="30">
        <f>7/8*100</f>
        <v>87.5</v>
      </c>
      <c r="AH37" s="4" t="str">
        <f t="shared" si="3"/>
        <v>III</v>
      </c>
      <c r="AI37" s="24"/>
      <c r="AJ37" s="47"/>
      <c r="AK37" s="31">
        <f t="shared" si="0"/>
        <v>22.8</v>
      </c>
      <c r="AL37" s="31">
        <f t="shared" si="1"/>
        <v>0</v>
      </c>
      <c r="AM37" s="31" t="e">
        <f>P37-#REF!</f>
        <v>#REF!</v>
      </c>
    </row>
    <row r="38" spans="1:39" s="76" customFormat="1" ht="58.5" customHeight="1" x14ac:dyDescent="0.25">
      <c r="A38" s="71">
        <v>32</v>
      </c>
      <c r="B38" s="67" t="s">
        <v>78</v>
      </c>
      <c r="C38" s="69">
        <v>51.9</v>
      </c>
      <c r="D38" s="77">
        <v>10.33</v>
      </c>
      <c r="E38" s="70">
        <v>98.8</v>
      </c>
      <c r="F38" s="77">
        <v>1.53</v>
      </c>
      <c r="G38" s="69">
        <v>43.3</v>
      </c>
      <c r="H38" s="77">
        <v>56.7</v>
      </c>
      <c r="I38" s="69" t="s">
        <v>263</v>
      </c>
      <c r="J38" s="69">
        <v>50</v>
      </c>
      <c r="K38" s="72" t="s">
        <v>265</v>
      </c>
      <c r="L38" s="69">
        <v>87</v>
      </c>
      <c r="M38" s="77" t="s">
        <v>223</v>
      </c>
      <c r="N38" s="69">
        <v>100</v>
      </c>
      <c r="O38" s="69">
        <v>96.88</v>
      </c>
      <c r="P38" s="73">
        <f>SUM((IF(C38&lt;32.4,1,0))+(IF(D38&gt;=8.12,1,0))+(IF(E38&lt;95,1,0))+(IF(F38&lt;30,1,0))+IF(OR(G38&lt;80,H38&gt;50),1,0)+(IF(I38="Chưa đạt chuẩn",1,0))+(IF(J38&lt;50,1,0))+(IF(L38&lt;50,1,0))+IF(OR(M38="chưa có",M38="có nhưng chưa đạt chuẩn"),1,0)+(IF(N38&lt;95,1,0))+(IF(O38&lt;50,1,0)))</f>
        <v>4</v>
      </c>
      <c r="Q38" s="74">
        <f>0/31*100</f>
        <v>0</v>
      </c>
      <c r="R38" s="69" t="str">
        <f t="shared" si="5"/>
        <v>II</v>
      </c>
      <c r="S38" s="146">
        <v>47.6</v>
      </c>
      <c r="T38" s="151">
        <v>10.28</v>
      </c>
      <c r="U38" s="151">
        <v>97.886331611085026</v>
      </c>
      <c r="V38" s="146">
        <v>3.7</v>
      </c>
      <c r="W38" s="146">
        <v>100</v>
      </c>
      <c r="X38" s="146">
        <v>56.7</v>
      </c>
      <c r="Y38" s="146" t="s">
        <v>263</v>
      </c>
      <c r="Z38" s="152">
        <v>66.666666666666671</v>
      </c>
      <c r="AA38" s="146" t="s">
        <v>265</v>
      </c>
      <c r="AB38" s="146">
        <v>87</v>
      </c>
      <c r="AC38" s="146" t="s">
        <v>208</v>
      </c>
      <c r="AD38" s="146">
        <v>100</v>
      </c>
      <c r="AE38" s="146">
        <v>75.305000000000007</v>
      </c>
      <c r="AF38" s="59">
        <f t="shared" si="2"/>
        <v>3</v>
      </c>
      <c r="AG38" s="74">
        <f>0/31*100</f>
        <v>0</v>
      </c>
      <c r="AH38" s="4" t="str">
        <f t="shared" si="3"/>
        <v>II</v>
      </c>
      <c r="AI38" s="68"/>
      <c r="AJ38" s="75"/>
      <c r="AK38" s="76">
        <f t="shared" si="0"/>
        <v>-2.17</v>
      </c>
      <c r="AL38" s="76">
        <f t="shared" si="1"/>
        <v>0</v>
      </c>
      <c r="AM38" s="76" t="e">
        <f>P38-#REF!</f>
        <v>#REF!</v>
      </c>
    </row>
    <row r="39" spans="1:39" ht="30" x14ac:dyDescent="0.25">
      <c r="A39" s="27">
        <v>33</v>
      </c>
      <c r="B39" s="2" t="s">
        <v>79</v>
      </c>
      <c r="C39" s="4">
        <v>65.2</v>
      </c>
      <c r="D39" s="4">
        <v>4.1500000000000004</v>
      </c>
      <c r="E39" s="17">
        <v>99.98</v>
      </c>
      <c r="F39" s="4">
        <v>18.8</v>
      </c>
      <c r="G39" s="4">
        <v>100</v>
      </c>
      <c r="H39" s="4">
        <v>45.85</v>
      </c>
      <c r="I39" s="4" t="s">
        <v>263</v>
      </c>
      <c r="J39" s="4">
        <v>100</v>
      </c>
      <c r="K39" s="28" t="s">
        <v>426</v>
      </c>
      <c r="L39" s="4">
        <v>85</v>
      </c>
      <c r="M39" s="4" t="s">
        <v>388</v>
      </c>
      <c r="N39" s="4">
        <v>100</v>
      </c>
      <c r="O39" s="4">
        <v>87.05</v>
      </c>
      <c r="P39" s="29">
        <f>SUM((IF(C39&lt;32.4,1,0))+(IF(D39&gt;=8.12,1,0))+(IF(E39&lt;95,1,0))+(IF(F39&lt;30,1,0))+IF(OR(G39&lt;80,H39&gt;50),1,0)
+(IF(I39="Chưa đạt chuẩn",1,0))+(IF(J39&lt;50,1,0))+(IF(OR( IFERROR(--TRIM(MID(K39, FIND("Nội trú:", K39)+8, FIND(";",K39&amp;";", FIND("Nội trú:", K39))-FIND("Nội trú:", K39)-8))&gt;=20, FALSE), IFERROR(--TRIM(MID(K39, FIND("Bán trú:", K39)+8, FIND(";", K39&amp;";", FIND("Bán trú:", K39))-FIND("Bán trú:",K39)-8))&gt;=40, FALSE)), 1, 0))+(IF(L39&lt;50,1,0))+IF(OR(M39="chưa có",M39="có nhưng chưa đạt chuẩn"),1,0)+(IF(N39&lt;95,1,0))+(IF(O39&lt;50,1,0)))</f>
        <v>1</v>
      </c>
      <c r="Q39" s="30">
        <f>0/44*100</f>
        <v>0</v>
      </c>
      <c r="R39" s="4" t="str">
        <f t="shared" si="5"/>
        <v>I</v>
      </c>
      <c r="S39" s="145">
        <v>59.3</v>
      </c>
      <c r="T39" s="149">
        <v>4.1500000000000004</v>
      </c>
      <c r="U39" s="149">
        <v>98.137751608927843</v>
      </c>
      <c r="V39" s="145">
        <v>15.8</v>
      </c>
      <c r="W39" s="145">
        <v>100</v>
      </c>
      <c r="X39" s="145">
        <v>45.85</v>
      </c>
      <c r="Y39" s="145" t="s">
        <v>263</v>
      </c>
      <c r="Z39" s="150">
        <v>100</v>
      </c>
      <c r="AA39" s="145" t="s">
        <v>1230</v>
      </c>
      <c r="AB39" s="145">
        <v>85</v>
      </c>
      <c r="AC39" s="145" t="s">
        <v>263</v>
      </c>
      <c r="AD39" s="145">
        <v>100</v>
      </c>
      <c r="AE39" s="145">
        <v>77.900000000000006</v>
      </c>
      <c r="AF39" s="59">
        <f t="shared" si="2"/>
        <v>2</v>
      </c>
      <c r="AG39" s="30">
        <f>0/44*100</f>
        <v>0</v>
      </c>
      <c r="AH39" s="4" t="str">
        <f t="shared" si="3"/>
        <v>I</v>
      </c>
      <c r="AI39" s="24"/>
      <c r="AJ39" s="47"/>
      <c r="AK39" s="31">
        <f t="shared" ref="AK39:AK70" si="7">F39-V39</f>
        <v>3</v>
      </c>
      <c r="AL39" s="31">
        <f t="shared" si="1"/>
        <v>0</v>
      </c>
      <c r="AM39" s="31" t="e">
        <f>P39-#REF!</f>
        <v>#REF!</v>
      </c>
    </row>
    <row r="40" spans="1:39" ht="45" x14ac:dyDescent="0.25">
      <c r="A40" s="27">
        <v>34</v>
      </c>
      <c r="B40" s="2" t="s">
        <v>80</v>
      </c>
      <c r="C40" s="4">
        <v>51.7</v>
      </c>
      <c r="D40" s="4">
        <v>9.1199999999999992</v>
      </c>
      <c r="E40" s="17">
        <v>91.11</v>
      </c>
      <c r="F40" s="4">
        <v>0</v>
      </c>
      <c r="G40" s="4">
        <v>45.1</v>
      </c>
      <c r="H40" s="4">
        <v>57.38</v>
      </c>
      <c r="I40" s="4" t="s">
        <v>263</v>
      </c>
      <c r="J40" s="4">
        <v>100</v>
      </c>
      <c r="K40" s="28" t="s">
        <v>265</v>
      </c>
      <c r="L40" s="4">
        <v>34.1</v>
      </c>
      <c r="M40" s="4" t="s">
        <v>223</v>
      </c>
      <c r="N40" s="4">
        <v>89.6</v>
      </c>
      <c r="O40" s="4">
        <v>85.56</v>
      </c>
      <c r="P40" s="29">
        <f t="shared" ref="P40:P48" si="8">SUM((IF(C40&lt;32.4,1,0))+(IF(D40&gt;=8.12,1,0))+(IF(E40&lt;95,1,0))+(IF(F40&lt;30,1,0))+IF(OR(G40&lt;80,H40&gt;50),1,0)+(IF(I40="Chưa đạt chuẩn",1,0))+(IF(J40&lt;50,1,0))+(IF(L40&lt;50,1,0))+IF(OR(M40="chưa có",M40="có nhưng chưa đạt chuẩn"),1,0)+(IF(N40&lt;95,1,0))+(IF(O40&lt;50,1,0)))</f>
        <v>7</v>
      </c>
      <c r="Q40" s="30">
        <f>7/29*100</f>
        <v>24.137931034482758</v>
      </c>
      <c r="R40" s="4" t="str">
        <f t="shared" si="5"/>
        <v>III</v>
      </c>
      <c r="S40" s="145">
        <v>51.7</v>
      </c>
      <c r="T40" s="149">
        <v>9.11</v>
      </c>
      <c r="U40" s="149">
        <v>91.113689095127611</v>
      </c>
      <c r="V40" s="145">
        <v>6.6</v>
      </c>
      <c r="W40" s="145">
        <v>100</v>
      </c>
      <c r="X40" s="145">
        <v>0</v>
      </c>
      <c r="Y40" s="145" t="s">
        <v>263</v>
      </c>
      <c r="Z40" s="150">
        <v>100</v>
      </c>
      <c r="AA40" s="145" t="s">
        <v>265</v>
      </c>
      <c r="AB40" s="145">
        <v>34.1</v>
      </c>
      <c r="AC40" s="145" t="s">
        <v>208</v>
      </c>
      <c r="AD40" s="145">
        <v>89.6</v>
      </c>
      <c r="AE40" s="145">
        <v>72.599999999999994</v>
      </c>
      <c r="AF40" s="59">
        <f t="shared" si="2"/>
        <v>5</v>
      </c>
      <c r="AG40" s="30">
        <f>7/29*100</f>
        <v>24.137931034482758</v>
      </c>
      <c r="AH40" s="4" t="str">
        <f t="shared" si="3"/>
        <v>II</v>
      </c>
      <c r="AI40" s="24"/>
      <c r="AJ40" s="47"/>
      <c r="AK40" s="31">
        <f t="shared" si="7"/>
        <v>-6.6</v>
      </c>
      <c r="AL40" s="31">
        <f t="shared" si="1"/>
        <v>0</v>
      </c>
      <c r="AM40" s="31" t="e">
        <f>P40-#REF!</f>
        <v>#REF!</v>
      </c>
    </row>
    <row r="41" spans="1:39" ht="45" x14ac:dyDescent="0.25">
      <c r="A41" s="27">
        <v>35</v>
      </c>
      <c r="B41" s="2" t="s">
        <v>81</v>
      </c>
      <c r="C41" s="4">
        <v>47.1</v>
      </c>
      <c r="D41" s="4">
        <v>11.28</v>
      </c>
      <c r="E41" s="17">
        <v>94.32</v>
      </c>
      <c r="F41" s="4">
        <v>3.77</v>
      </c>
      <c r="G41" s="4">
        <v>47.42</v>
      </c>
      <c r="H41" s="4">
        <v>52.58</v>
      </c>
      <c r="I41" s="4" t="s">
        <v>263</v>
      </c>
      <c r="J41" s="4">
        <v>88.88</v>
      </c>
      <c r="K41" s="28" t="s">
        <v>265</v>
      </c>
      <c r="L41" s="4">
        <v>49.68</v>
      </c>
      <c r="M41" s="4" t="s">
        <v>209</v>
      </c>
      <c r="N41" s="4">
        <v>83</v>
      </c>
      <c r="O41" s="4">
        <v>91.51</v>
      </c>
      <c r="P41" s="29">
        <f t="shared" si="8"/>
        <v>7</v>
      </c>
      <c r="Q41" s="30">
        <f>5/30*100</f>
        <v>16.666666666666664</v>
      </c>
      <c r="R41" s="4" t="str">
        <f t="shared" si="5"/>
        <v>III</v>
      </c>
      <c r="S41" s="145">
        <v>47.1</v>
      </c>
      <c r="T41" s="149">
        <v>11.2</v>
      </c>
      <c r="U41" s="149">
        <v>94.315895372233399</v>
      </c>
      <c r="V41" s="145">
        <v>3.2</v>
      </c>
      <c r="W41" s="145">
        <v>100</v>
      </c>
      <c r="X41" s="145">
        <v>52.58</v>
      </c>
      <c r="Y41" s="145" t="s">
        <v>263</v>
      </c>
      <c r="Z41" s="150">
        <v>90</v>
      </c>
      <c r="AA41" s="145" t="s">
        <v>265</v>
      </c>
      <c r="AB41" s="145">
        <v>49.7</v>
      </c>
      <c r="AC41" s="145" t="s">
        <v>208</v>
      </c>
      <c r="AD41" s="145">
        <v>83</v>
      </c>
      <c r="AE41" s="145">
        <v>74.19</v>
      </c>
      <c r="AF41" s="59">
        <f t="shared" si="2"/>
        <v>6</v>
      </c>
      <c r="AG41" s="30">
        <f>5/30*100</f>
        <v>16.666666666666664</v>
      </c>
      <c r="AH41" s="4" t="str">
        <f t="shared" si="3"/>
        <v>III</v>
      </c>
      <c r="AI41" s="24"/>
      <c r="AJ41" s="47"/>
      <c r="AK41" s="31">
        <f t="shared" si="7"/>
        <v>0.56999999999999984</v>
      </c>
      <c r="AL41" s="31">
        <f t="shared" si="1"/>
        <v>-2.0000000000003126E-2</v>
      </c>
      <c r="AM41" s="31" t="e">
        <f>P41-#REF!</f>
        <v>#REF!</v>
      </c>
    </row>
    <row r="42" spans="1:39" ht="45" x14ac:dyDescent="0.25">
      <c r="A42" s="27">
        <v>36</v>
      </c>
      <c r="B42" s="2" t="s">
        <v>82</v>
      </c>
      <c r="C42" s="4">
        <v>46.9</v>
      </c>
      <c r="D42" s="4">
        <v>9.99</v>
      </c>
      <c r="E42" s="17">
        <v>87.91</v>
      </c>
      <c r="F42" s="4">
        <v>4.5</v>
      </c>
      <c r="G42" s="4">
        <v>74.2</v>
      </c>
      <c r="H42" s="4">
        <v>8.8000000000000007</v>
      </c>
      <c r="I42" s="4" t="s">
        <v>263</v>
      </c>
      <c r="J42" s="4">
        <v>85.7</v>
      </c>
      <c r="K42" s="28" t="s">
        <v>265</v>
      </c>
      <c r="L42" s="4">
        <v>100</v>
      </c>
      <c r="M42" s="4" t="s">
        <v>223</v>
      </c>
      <c r="N42" s="4">
        <v>88</v>
      </c>
      <c r="O42" s="4">
        <v>48.5</v>
      </c>
      <c r="P42" s="29">
        <f t="shared" si="8"/>
        <v>7</v>
      </c>
      <c r="Q42" s="30">
        <f>12/25*100</f>
        <v>48</v>
      </c>
      <c r="R42" s="4" t="str">
        <f t="shared" si="5"/>
        <v>III</v>
      </c>
      <c r="S42" s="145">
        <v>46.9</v>
      </c>
      <c r="T42" s="149">
        <v>9.98</v>
      </c>
      <c r="U42" s="149">
        <v>87.898089171974519</v>
      </c>
      <c r="V42" s="145">
        <v>3.7</v>
      </c>
      <c r="W42" s="145">
        <v>74.2</v>
      </c>
      <c r="X42" s="145">
        <v>8.8000000000000007</v>
      </c>
      <c r="Y42" s="145" t="s">
        <v>263</v>
      </c>
      <c r="Z42" s="150">
        <v>85.714285714285708</v>
      </c>
      <c r="AA42" s="145" t="s">
        <v>265</v>
      </c>
      <c r="AB42" s="145">
        <v>100</v>
      </c>
      <c r="AC42" s="145" t="s">
        <v>208</v>
      </c>
      <c r="AD42" s="145">
        <v>88</v>
      </c>
      <c r="AE42" s="145">
        <v>74.73</v>
      </c>
      <c r="AF42" s="59">
        <f t="shared" si="2"/>
        <v>5</v>
      </c>
      <c r="AG42" s="30">
        <f>12/25*100</f>
        <v>48</v>
      </c>
      <c r="AH42" s="4" t="str">
        <f t="shared" si="3"/>
        <v>II</v>
      </c>
      <c r="AI42" s="24"/>
      <c r="AJ42" s="47"/>
      <c r="AK42" s="31">
        <f t="shared" si="7"/>
        <v>0.79999999999999982</v>
      </c>
      <c r="AL42" s="31">
        <f t="shared" si="1"/>
        <v>0</v>
      </c>
      <c r="AM42" s="31" t="e">
        <f>P42-#REF!</f>
        <v>#REF!</v>
      </c>
    </row>
    <row r="43" spans="1:39" ht="45" x14ac:dyDescent="0.25">
      <c r="A43" s="27">
        <v>37</v>
      </c>
      <c r="B43" s="2" t="s">
        <v>83</v>
      </c>
      <c r="C43" s="4">
        <v>50.6</v>
      </c>
      <c r="D43" s="4">
        <v>7.16</v>
      </c>
      <c r="E43" s="17">
        <v>98.6</v>
      </c>
      <c r="F43" s="4">
        <v>28</v>
      </c>
      <c r="G43" s="4">
        <v>57.02</v>
      </c>
      <c r="H43" s="4">
        <v>42.8</v>
      </c>
      <c r="I43" s="4" t="s">
        <v>263</v>
      </c>
      <c r="J43" s="4">
        <v>100</v>
      </c>
      <c r="K43" s="28" t="s">
        <v>265</v>
      </c>
      <c r="L43" s="4">
        <v>93.75</v>
      </c>
      <c r="M43" s="4" t="s">
        <v>209</v>
      </c>
      <c r="N43" s="4">
        <v>100</v>
      </c>
      <c r="O43" s="4">
        <v>87</v>
      </c>
      <c r="P43" s="29">
        <f t="shared" si="8"/>
        <v>3</v>
      </c>
      <c r="Q43" s="30">
        <f>1/36*100</f>
        <v>2.7777777777777777</v>
      </c>
      <c r="R43" s="4" t="str">
        <f t="shared" si="5"/>
        <v>II</v>
      </c>
      <c r="S43" s="145">
        <v>50.6</v>
      </c>
      <c r="T43" s="149">
        <v>7.16</v>
      </c>
      <c r="U43" s="149">
        <v>98.624581202609761</v>
      </c>
      <c r="V43" s="145">
        <v>3.8</v>
      </c>
      <c r="W43" s="145">
        <v>57.02</v>
      </c>
      <c r="X43" s="145">
        <v>42.8</v>
      </c>
      <c r="Y43" s="145" t="s">
        <v>263</v>
      </c>
      <c r="Z43" s="150">
        <v>88.8</v>
      </c>
      <c r="AA43" s="145" t="s">
        <v>265</v>
      </c>
      <c r="AB43" s="145">
        <v>93.8</v>
      </c>
      <c r="AC43" s="145" t="s">
        <v>208</v>
      </c>
      <c r="AD43" s="145">
        <v>100</v>
      </c>
      <c r="AE43" s="145">
        <v>74.510000000000005</v>
      </c>
      <c r="AF43" s="59">
        <f t="shared" si="2"/>
        <v>2</v>
      </c>
      <c r="AG43" s="30">
        <f>1/36*100</f>
        <v>2.7777777777777777</v>
      </c>
      <c r="AH43" s="4" t="str">
        <f t="shared" si="3"/>
        <v>I</v>
      </c>
      <c r="AI43" s="24"/>
      <c r="AJ43" s="47"/>
      <c r="AK43" s="31">
        <f t="shared" si="7"/>
        <v>24.2</v>
      </c>
      <c r="AL43" s="31">
        <f t="shared" si="1"/>
        <v>-4.9999999999997158E-2</v>
      </c>
      <c r="AM43" s="31" t="e">
        <f>P43-#REF!</f>
        <v>#REF!</v>
      </c>
    </row>
    <row r="44" spans="1:39" ht="45" x14ac:dyDescent="0.25">
      <c r="A44" s="27">
        <v>38</v>
      </c>
      <c r="B44" s="2" t="s">
        <v>84</v>
      </c>
      <c r="C44" s="4">
        <v>56.3</v>
      </c>
      <c r="D44" s="4">
        <v>5.14</v>
      </c>
      <c r="E44" s="17">
        <v>91.67</v>
      </c>
      <c r="F44" s="4">
        <v>27.03</v>
      </c>
      <c r="G44" s="4">
        <v>75</v>
      </c>
      <c r="H44" s="4">
        <v>25</v>
      </c>
      <c r="I44" s="4" t="s">
        <v>263</v>
      </c>
      <c r="J44" s="4">
        <v>90</v>
      </c>
      <c r="K44" s="28" t="s">
        <v>265</v>
      </c>
      <c r="L44" s="4">
        <v>74.95</v>
      </c>
      <c r="M44" s="4" t="s">
        <v>223</v>
      </c>
      <c r="N44" s="4">
        <v>87.5</v>
      </c>
      <c r="O44" s="4">
        <v>85.62</v>
      </c>
      <c r="P44" s="29">
        <f t="shared" si="8"/>
        <v>5</v>
      </c>
      <c r="Q44" s="30">
        <f>13/24*100</f>
        <v>54.166666666666664</v>
      </c>
      <c r="R44" s="4" t="str">
        <f t="shared" si="5"/>
        <v>III</v>
      </c>
      <c r="S44" s="145">
        <v>56.3</v>
      </c>
      <c r="T44" s="149">
        <v>5.1899999999999995</v>
      </c>
      <c r="U44" s="149">
        <v>91.675152749490834</v>
      </c>
      <c r="V44" s="145">
        <v>5.5</v>
      </c>
      <c r="W44" s="145">
        <v>100</v>
      </c>
      <c r="X44" s="145">
        <v>25</v>
      </c>
      <c r="Y44" s="145" t="s">
        <v>263</v>
      </c>
      <c r="Z44" s="150">
        <v>100</v>
      </c>
      <c r="AA44" s="145" t="s">
        <v>265</v>
      </c>
      <c r="AB44" s="145">
        <v>75</v>
      </c>
      <c r="AC44" s="145" t="s">
        <v>223</v>
      </c>
      <c r="AD44" s="145">
        <v>88</v>
      </c>
      <c r="AE44" s="145">
        <v>79</v>
      </c>
      <c r="AF44" s="59">
        <f t="shared" si="2"/>
        <v>4</v>
      </c>
      <c r="AG44" s="30">
        <f>13/24*100</f>
        <v>54.166666666666664</v>
      </c>
      <c r="AH44" s="4" t="str">
        <f t="shared" si="3"/>
        <v>III</v>
      </c>
      <c r="AI44" s="24"/>
      <c r="AJ44" s="47"/>
      <c r="AK44" s="31">
        <f t="shared" si="7"/>
        <v>21.53</v>
      </c>
      <c r="AL44" s="31">
        <f t="shared" si="1"/>
        <v>-4.9999999999997158E-2</v>
      </c>
      <c r="AM44" s="31" t="e">
        <f>P44-#REF!</f>
        <v>#REF!</v>
      </c>
    </row>
    <row r="45" spans="1:39" ht="45" x14ac:dyDescent="0.25">
      <c r="A45" s="27">
        <v>39</v>
      </c>
      <c r="B45" s="2" t="s">
        <v>85</v>
      </c>
      <c r="C45" s="4">
        <v>51.2</v>
      </c>
      <c r="D45" s="4">
        <v>6.97</v>
      </c>
      <c r="E45" s="17">
        <v>85.3</v>
      </c>
      <c r="F45" s="4">
        <v>13.1</v>
      </c>
      <c r="G45" s="4">
        <v>73</v>
      </c>
      <c r="H45" s="4">
        <v>27</v>
      </c>
      <c r="I45" s="4" t="s">
        <v>263</v>
      </c>
      <c r="J45" s="4">
        <v>100</v>
      </c>
      <c r="K45" s="28" t="s">
        <v>265</v>
      </c>
      <c r="L45" s="4">
        <v>87.8</v>
      </c>
      <c r="M45" s="4" t="s">
        <v>223</v>
      </c>
      <c r="N45" s="4">
        <v>85</v>
      </c>
      <c r="O45" s="4">
        <v>77</v>
      </c>
      <c r="P45" s="29">
        <f t="shared" si="8"/>
        <v>5</v>
      </c>
      <c r="Q45" s="30">
        <f>15/20*100</f>
        <v>75</v>
      </c>
      <c r="R45" s="4" t="str">
        <f t="shared" si="5"/>
        <v>III</v>
      </c>
      <c r="S45" s="145">
        <v>51.2</v>
      </c>
      <c r="T45" s="149">
        <v>6.93</v>
      </c>
      <c r="U45" s="149">
        <v>89.113022841886675</v>
      </c>
      <c r="V45" s="145">
        <v>7.6</v>
      </c>
      <c r="W45" s="145">
        <v>100</v>
      </c>
      <c r="X45" s="145">
        <v>27</v>
      </c>
      <c r="Y45" s="145" t="s">
        <v>263</v>
      </c>
      <c r="Z45" s="150">
        <v>100</v>
      </c>
      <c r="AA45" s="145" t="s">
        <v>265</v>
      </c>
      <c r="AB45" s="145">
        <v>87.8</v>
      </c>
      <c r="AC45" s="145" t="s">
        <v>208</v>
      </c>
      <c r="AD45" s="145">
        <v>75</v>
      </c>
      <c r="AE45" s="145">
        <v>73.400000000000006</v>
      </c>
      <c r="AF45" s="59">
        <f t="shared" si="2"/>
        <v>3</v>
      </c>
      <c r="AG45" s="30">
        <f>15/20*100</f>
        <v>75</v>
      </c>
      <c r="AH45" s="4" t="str">
        <f t="shared" si="3"/>
        <v>III</v>
      </c>
      <c r="AI45" s="24"/>
      <c r="AJ45" s="47"/>
      <c r="AK45" s="31">
        <f t="shared" si="7"/>
        <v>5.5</v>
      </c>
      <c r="AL45" s="31">
        <f t="shared" si="1"/>
        <v>0</v>
      </c>
      <c r="AM45" s="31" t="e">
        <f>P45-#REF!</f>
        <v>#REF!</v>
      </c>
    </row>
    <row r="46" spans="1:39" ht="45" x14ac:dyDescent="0.25">
      <c r="A46" s="27">
        <v>40</v>
      </c>
      <c r="B46" s="2" t="s">
        <v>86</v>
      </c>
      <c r="C46" s="4">
        <v>62.5</v>
      </c>
      <c r="D46" s="4">
        <v>4.53</v>
      </c>
      <c r="E46" s="17">
        <v>94.2</v>
      </c>
      <c r="F46" s="4">
        <v>10</v>
      </c>
      <c r="G46" s="4">
        <v>92.1</v>
      </c>
      <c r="H46" s="4">
        <v>8.1999999999999993</v>
      </c>
      <c r="I46" s="4" t="s">
        <v>263</v>
      </c>
      <c r="J46" s="4">
        <v>100</v>
      </c>
      <c r="K46" s="28" t="s">
        <v>265</v>
      </c>
      <c r="L46" s="4">
        <v>100</v>
      </c>
      <c r="M46" s="4" t="s">
        <v>223</v>
      </c>
      <c r="N46" s="4">
        <v>93</v>
      </c>
      <c r="O46" s="4">
        <v>92.4</v>
      </c>
      <c r="P46" s="29">
        <f t="shared" si="8"/>
        <v>4</v>
      </c>
      <c r="Q46" s="30">
        <f>4/52*100</f>
        <v>7.6923076923076925</v>
      </c>
      <c r="R46" s="4" t="str">
        <f t="shared" si="5"/>
        <v>II</v>
      </c>
      <c r="S46" s="145">
        <v>61.8</v>
      </c>
      <c r="T46" s="149">
        <v>4.54</v>
      </c>
      <c r="U46" s="149">
        <v>94.125014232039163</v>
      </c>
      <c r="V46" s="145">
        <v>6.2</v>
      </c>
      <c r="W46" s="145">
        <v>92.1</v>
      </c>
      <c r="X46" s="145">
        <v>8.1999999999999993</v>
      </c>
      <c r="Y46" s="145" t="s">
        <v>263</v>
      </c>
      <c r="Z46" s="150">
        <v>100</v>
      </c>
      <c r="AA46" s="145" t="s">
        <v>265</v>
      </c>
      <c r="AB46" s="145">
        <v>100</v>
      </c>
      <c r="AC46" s="145" t="s">
        <v>208</v>
      </c>
      <c r="AD46" s="145">
        <v>100</v>
      </c>
      <c r="AE46" s="145">
        <v>80.3</v>
      </c>
      <c r="AF46" s="59">
        <f t="shared" si="2"/>
        <v>2</v>
      </c>
      <c r="AG46" s="30">
        <f>4/52*100</f>
        <v>7.6923076923076925</v>
      </c>
      <c r="AH46" s="4" t="str">
        <f t="shared" si="3"/>
        <v>I</v>
      </c>
      <c r="AI46" s="24"/>
      <c r="AJ46" s="47"/>
      <c r="AK46" s="31">
        <f t="shared" si="7"/>
        <v>3.8</v>
      </c>
      <c r="AL46" s="31">
        <f t="shared" si="1"/>
        <v>0</v>
      </c>
      <c r="AM46" s="31" t="e">
        <f>P46-#REF!</f>
        <v>#REF!</v>
      </c>
    </row>
    <row r="47" spans="1:39" ht="45" x14ac:dyDescent="0.25">
      <c r="A47" s="27">
        <v>41</v>
      </c>
      <c r="B47" s="2" t="s">
        <v>87</v>
      </c>
      <c r="C47" s="4">
        <v>65.760000000000005</v>
      </c>
      <c r="D47" s="4">
        <v>2.68</v>
      </c>
      <c r="E47" s="17">
        <v>98.6</v>
      </c>
      <c r="F47" s="4">
        <v>18.399999999999999</v>
      </c>
      <c r="G47" s="4">
        <v>95</v>
      </c>
      <c r="H47" s="4">
        <v>4</v>
      </c>
      <c r="I47" s="4" t="s">
        <v>263</v>
      </c>
      <c r="J47" s="4">
        <v>100</v>
      </c>
      <c r="K47" s="28" t="s">
        <v>265</v>
      </c>
      <c r="L47" s="4">
        <v>99.7</v>
      </c>
      <c r="M47" s="4" t="s">
        <v>388</v>
      </c>
      <c r="N47" s="4">
        <v>100</v>
      </c>
      <c r="O47" s="4">
        <v>95.81</v>
      </c>
      <c r="P47" s="29">
        <f t="shared" si="8"/>
        <v>1</v>
      </c>
      <c r="Q47" s="30">
        <f>0/35*100</f>
        <v>0</v>
      </c>
      <c r="R47" s="4" t="str">
        <f t="shared" si="5"/>
        <v>I</v>
      </c>
      <c r="S47" s="145">
        <v>68.8</v>
      </c>
      <c r="T47" s="149">
        <v>2.72</v>
      </c>
      <c r="U47" s="149">
        <v>95.589941972920698</v>
      </c>
      <c r="V47" s="145">
        <v>14.3</v>
      </c>
      <c r="W47" s="145">
        <v>95</v>
      </c>
      <c r="X47" s="145">
        <v>4</v>
      </c>
      <c r="Y47" s="145" t="s">
        <v>263</v>
      </c>
      <c r="Z47" s="150">
        <v>100</v>
      </c>
      <c r="AA47" s="145" t="s">
        <v>1231</v>
      </c>
      <c r="AB47" s="145">
        <v>99.7</v>
      </c>
      <c r="AC47" s="145" t="s">
        <v>263</v>
      </c>
      <c r="AD47" s="145">
        <v>100</v>
      </c>
      <c r="AE47" s="145">
        <v>89.7</v>
      </c>
      <c r="AF47" s="59">
        <f t="shared" si="2"/>
        <v>1</v>
      </c>
      <c r="AG47" s="30">
        <f>0/35*100</f>
        <v>0</v>
      </c>
      <c r="AH47" s="4" t="str">
        <f t="shared" si="3"/>
        <v>I</v>
      </c>
      <c r="AI47" s="24"/>
      <c r="AJ47" s="47"/>
      <c r="AK47" s="31">
        <f t="shared" si="7"/>
        <v>4.0999999999999979</v>
      </c>
      <c r="AL47" s="31">
        <f t="shared" si="1"/>
        <v>0</v>
      </c>
      <c r="AM47" s="31" t="e">
        <f>P47-#REF!</f>
        <v>#REF!</v>
      </c>
    </row>
    <row r="48" spans="1:39" ht="45" x14ac:dyDescent="0.25">
      <c r="A48" s="27">
        <v>42</v>
      </c>
      <c r="B48" s="2" t="s">
        <v>88</v>
      </c>
      <c r="C48" s="4">
        <v>52</v>
      </c>
      <c r="D48" s="4">
        <v>5.35</v>
      </c>
      <c r="E48" s="17">
        <v>93</v>
      </c>
      <c r="F48" s="4">
        <v>19.88</v>
      </c>
      <c r="G48" s="4">
        <v>91</v>
      </c>
      <c r="H48" s="4">
        <v>0.9</v>
      </c>
      <c r="I48" s="4" t="s">
        <v>263</v>
      </c>
      <c r="J48" s="4">
        <v>100</v>
      </c>
      <c r="K48" s="28" t="s">
        <v>265</v>
      </c>
      <c r="L48" s="4">
        <v>73</v>
      </c>
      <c r="M48" s="4" t="s">
        <v>223</v>
      </c>
      <c r="N48" s="4">
        <v>93</v>
      </c>
      <c r="O48" s="4">
        <v>80.5</v>
      </c>
      <c r="P48" s="29">
        <f t="shared" si="8"/>
        <v>4</v>
      </c>
      <c r="Q48" s="30">
        <f>0/28*100</f>
        <v>0</v>
      </c>
      <c r="R48" s="4" t="str">
        <f t="shared" si="5"/>
        <v>II</v>
      </c>
      <c r="S48" s="145">
        <v>51.6</v>
      </c>
      <c r="T48" s="149">
        <v>5.35</v>
      </c>
      <c r="U48" s="149">
        <v>82.055659894143758</v>
      </c>
      <c r="V48" s="145">
        <v>5.8</v>
      </c>
      <c r="W48" s="145">
        <v>91</v>
      </c>
      <c r="X48" s="145">
        <v>0.9</v>
      </c>
      <c r="Y48" s="145" t="s">
        <v>263</v>
      </c>
      <c r="Z48" s="150">
        <v>100</v>
      </c>
      <c r="AA48" s="145" t="s">
        <v>265</v>
      </c>
      <c r="AB48" s="145">
        <v>73</v>
      </c>
      <c r="AC48" s="145" t="s">
        <v>208</v>
      </c>
      <c r="AD48" s="145">
        <v>97</v>
      </c>
      <c r="AE48" s="145">
        <v>74.400000000000006</v>
      </c>
      <c r="AF48" s="59">
        <f t="shared" si="2"/>
        <v>2</v>
      </c>
      <c r="AG48" s="30">
        <f>0/28*100</f>
        <v>0</v>
      </c>
      <c r="AH48" s="4" t="str">
        <f t="shared" si="3"/>
        <v>I</v>
      </c>
      <c r="AI48" s="24"/>
      <c r="AJ48" s="47"/>
      <c r="AK48" s="31">
        <f t="shared" si="7"/>
        <v>14.079999999999998</v>
      </c>
      <c r="AL48" s="31">
        <f t="shared" si="1"/>
        <v>0</v>
      </c>
      <c r="AM48" s="31" t="e">
        <f>P48-#REF!</f>
        <v>#REF!</v>
      </c>
    </row>
    <row r="49" spans="1:39" x14ac:dyDescent="0.25">
      <c r="A49" s="27">
        <v>43</v>
      </c>
      <c r="B49" s="2" t="s">
        <v>89</v>
      </c>
      <c r="C49" s="4"/>
      <c r="D49" s="4"/>
      <c r="E49" s="17"/>
      <c r="F49" s="4"/>
      <c r="G49" s="4"/>
      <c r="H49" s="4"/>
      <c r="I49" s="4"/>
      <c r="J49" s="4"/>
      <c r="K49" s="28"/>
      <c r="L49" s="4"/>
      <c r="M49" s="4"/>
      <c r="N49" s="4"/>
      <c r="O49" s="4"/>
      <c r="P49" s="29"/>
      <c r="Q49" s="30"/>
      <c r="R49" s="4"/>
      <c r="S49" s="145"/>
      <c r="T49" s="149"/>
      <c r="U49" s="149"/>
      <c r="V49" s="145"/>
      <c r="W49" s="145"/>
      <c r="X49" s="145"/>
      <c r="Y49" s="145"/>
      <c r="Z49" s="150"/>
      <c r="AA49" s="145"/>
      <c r="AB49" s="145"/>
      <c r="AC49" s="145"/>
      <c r="AD49" s="145"/>
      <c r="AE49" s="145"/>
      <c r="AF49" s="59"/>
      <c r="AG49" s="30"/>
      <c r="AH49" s="4"/>
      <c r="AI49" s="24"/>
      <c r="AJ49" s="47"/>
      <c r="AK49" s="31">
        <f t="shared" si="7"/>
        <v>0</v>
      </c>
      <c r="AM49" s="31" t="e">
        <f>P49-#REF!</f>
        <v>#REF!</v>
      </c>
    </row>
    <row r="50" spans="1:39" ht="60" x14ac:dyDescent="0.25">
      <c r="A50" s="27">
        <v>44</v>
      </c>
      <c r="B50" s="2" t="s">
        <v>90</v>
      </c>
      <c r="C50" s="4">
        <v>110</v>
      </c>
      <c r="D50" s="4">
        <v>0.27</v>
      </c>
      <c r="E50" s="17">
        <v>100</v>
      </c>
      <c r="F50" s="4">
        <v>91.9</v>
      </c>
      <c r="G50" s="4">
        <v>100</v>
      </c>
      <c r="H50" s="4">
        <v>0</v>
      </c>
      <c r="I50" s="4" t="s">
        <v>263</v>
      </c>
      <c r="J50" s="4">
        <v>82.6</v>
      </c>
      <c r="K50" s="28" t="s">
        <v>265</v>
      </c>
      <c r="L50" s="4">
        <v>90</v>
      </c>
      <c r="M50" s="4" t="s">
        <v>388</v>
      </c>
      <c r="N50" s="4">
        <v>96</v>
      </c>
      <c r="O50" s="4">
        <v>99.8</v>
      </c>
      <c r="P50" s="29">
        <f>SUM((IF(C50&lt;32.4,1,0))+(IF(D50&gt;=8.12,1,0))+(IF(E50&lt;95,1,0))+(IF(F50&lt;30,1,0))+IF(OR(G50&lt;80,H50&gt;50),1,0)+(IF(I50="Chưa đạt chuẩn",1,0))+(IF(J50&lt;50,1,0))+(IF(L50&lt;50,1,0))+IF(OR(M50="chưa có",M50="có nhưng chưa đạt chuẩn"),1,0)+(IF(N50&lt;95,1,0))+(IF(O50&lt;50,1,0)))</f>
        <v>0</v>
      </c>
      <c r="Q50" s="30">
        <f>0/71*100</f>
        <v>0</v>
      </c>
      <c r="R50" s="4" t="str">
        <f t="shared" si="5"/>
        <v>I</v>
      </c>
      <c r="S50" s="145">
        <v>108.9</v>
      </c>
      <c r="T50" s="149">
        <v>0.27</v>
      </c>
      <c r="U50" s="149">
        <v>90.32605502790561</v>
      </c>
      <c r="V50" s="145">
        <v>87.9</v>
      </c>
      <c r="W50" s="145">
        <v>100</v>
      </c>
      <c r="X50" s="145">
        <v>0</v>
      </c>
      <c r="Y50" s="145" t="s">
        <v>263</v>
      </c>
      <c r="Z50" s="150">
        <v>82.6</v>
      </c>
      <c r="AA50" s="145" t="s">
        <v>265</v>
      </c>
      <c r="AB50" s="145">
        <v>90</v>
      </c>
      <c r="AC50" s="145" t="s">
        <v>263</v>
      </c>
      <c r="AD50" s="145">
        <v>100</v>
      </c>
      <c r="AE50" s="145">
        <v>96.8</v>
      </c>
      <c r="AF50" s="59"/>
      <c r="AG50" s="30"/>
      <c r="AH50" s="4"/>
      <c r="AI50" s="27" t="s">
        <v>459</v>
      </c>
      <c r="AJ50" s="47"/>
      <c r="AK50" s="31">
        <f t="shared" si="7"/>
        <v>4</v>
      </c>
      <c r="AL50" s="31">
        <f>L50-AB50</f>
        <v>0</v>
      </c>
      <c r="AM50" s="31" t="e">
        <f>P50-#REF!</f>
        <v>#REF!</v>
      </c>
    </row>
    <row r="51" spans="1:39" x14ac:dyDescent="0.25">
      <c r="A51" s="27">
        <v>45</v>
      </c>
      <c r="B51" s="2" t="s">
        <v>91</v>
      </c>
      <c r="C51" s="4"/>
      <c r="D51" s="4"/>
      <c r="E51" s="17"/>
      <c r="F51" s="4"/>
      <c r="G51" s="4"/>
      <c r="H51" s="4"/>
      <c r="I51" s="4"/>
      <c r="J51" s="4"/>
      <c r="K51" s="28"/>
      <c r="L51" s="4"/>
      <c r="M51" s="4"/>
      <c r="N51" s="4"/>
      <c r="O51" s="4"/>
      <c r="P51" s="29"/>
      <c r="Q51" s="30"/>
      <c r="R51" s="4"/>
      <c r="S51" s="145"/>
      <c r="T51" s="149"/>
      <c r="U51" s="149"/>
      <c r="V51" s="145"/>
      <c r="W51" s="145"/>
      <c r="X51" s="145"/>
      <c r="Y51" s="145"/>
      <c r="Z51" s="150"/>
      <c r="AA51" s="145"/>
      <c r="AB51" s="145"/>
      <c r="AC51" s="145"/>
      <c r="AD51" s="145"/>
      <c r="AE51" s="145"/>
      <c r="AF51" s="59"/>
      <c r="AG51" s="30"/>
      <c r="AH51" s="4"/>
      <c r="AI51" s="24"/>
      <c r="AJ51" s="47"/>
      <c r="AK51" s="31">
        <f t="shared" si="7"/>
        <v>0</v>
      </c>
      <c r="AM51" s="31" t="e">
        <f>P51-#REF!</f>
        <v>#REF!</v>
      </c>
    </row>
    <row r="52" spans="1:39" x14ac:dyDescent="0.25">
      <c r="A52" s="27">
        <v>46</v>
      </c>
      <c r="B52" s="2" t="s">
        <v>92</v>
      </c>
      <c r="C52" s="4"/>
      <c r="D52" s="4"/>
      <c r="E52" s="17"/>
      <c r="F52" s="4"/>
      <c r="G52" s="4"/>
      <c r="H52" s="4"/>
      <c r="I52" s="4"/>
      <c r="J52" s="4"/>
      <c r="K52" s="28"/>
      <c r="L52" s="4"/>
      <c r="M52" s="4"/>
      <c r="N52" s="4"/>
      <c r="O52" s="4"/>
      <c r="P52" s="29"/>
      <c r="Q52" s="30"/>
      <c r="R52" s="4"/>
      <c r="S52" s="145"/>
      <c r="T52" s="149"/>
      <c r="U52" s="149"/>
      <c r="V52" s="145"/>
      <c r="W52" s="145"/>
      <c r="X52" s="145"/>
      <c r="Y52" s="145"/>
      <c r="Z52" s="150"/>
      <c r="AA52" s="145"/>
      <c r="AB52" s="145"/>
      <c r="AC52" s="145"/>
      <c r="AD52" s="145"/>
      <c r="AE52" s="145"/>
      <c r="AF52" s="59"/>
      <c r="AG52" s="30"/>
      <c r="AH52" s="4"/>
      <c r="AI52" s="24"/>
      <c r="AJ52" s="47"/>
      <c r="AK52" s="31">
        <f t="shared" si="7"/>
        <v>0</v>
      </c>
      <c r="AM52" s="31" t="e">
        <f>P52-#REF!</f>
        <v>#REF!</v>
      </c>
    </row>
    <row r="53" spans="1:39" ht="105" x14ac:dyDescent="0.25">
      <c r="A53" s="27">
        <v>47</v>
      </c>
      <c r="B53" s="2" t="s">
        <v>93</v>
      </c>
      <c r="C53" s="4">
        <v>68.599999999999994</v>
      </c>
      <c r="D53" s="4">
        <v>1.44</v>
      </c>
      <c r="E53" s="17">
        <v>100</v>
      </c>
      <c r="F53" s="4">
        <v>30</v>
      </c>
      <c r="G53" s="4">
        <v>100</v>
      </c>
      <c r="H53" s="4">
        <v>0</v>
      </c>
      <c r="I53" s="4" t="s">
        <v>263</v>
      </c>
      <c r="J53" s="4">
        <v>93.3</v>
      </c>
      <c r="K53" s="28" t="s">
        <v>461</v>
      </c>
      <c r="L53" s="4">
        <v>100</v>
      </c>
      <c r="M53" s="4" t="s">
        <v>388</v>
      </c>
      <c r="N53" s="4">
        <v>100</v>
      </c>
      <c r="O53" s="4">
        <v>94.5</v>
      </c>
      <c r="P53" s="29">
        <f>SUM((IF(C53&lt;32.4,1,0))+(IF(D53&gt;=8.12,1,0))+(IF(E53&lt;95,1,0))+(IF(F53&lt;30,1,0))+IF(OR(G53&lt;80,H53&gt;50),1,0)+(IF(I53="Chưa đạt chuẩn",1,0))+(IF(J53&lt;50,1,0))+(IF(L53&lt;50,1,0))+IF(OR(M53="chưa có",M53="có nhưng chưa đạt chuẩn"),1,0)+(IF(N53&lt;95,1,0))+(IF(O53&lt;50,1,0)))</f>
        <v>0</v>
      </c>
      <c r="Q53" s="30">
        <f>0/61*100</f>
        <v>0</v>
      </c>
      <c r="R53" s="4" t="str">
        <f t="shared" si="5"/>
        <v>I</v>
      </c>
      <c r="S53" s="145">
        <v>58.6</v>
      </c>
      <c r="T53" s="149">
        <v>1.44</v>
      </c>
      <c r="U53" s="149">
        <v>100</v>
      </c>
      <c r="V53" s="145">
        <v>20.7</v>
      </c>
      <c r="W53" s="145">
        <v>100</v>
      </c>
      <c r="X53" s="145">
        <v>0</v>
      </c>
      <c r="Y53" s="145" t="s">
        <v>263</v>
      </c>
      <c r="Z53" s="150">
        <v>93.333333333333343</v>
      </c>
      <c r="AA53" s="145" t="s">
        <v>265</v>
      </c>
      <c r="AB53" s="145">
        <v>100</v>
      </c>
      <c r="AC53" s="145" t="s">
        <v>263</v>
      </c>
      <c r="AD53" s="145">
        <v>100</v>
      </c>
      <c r="AE53" s="145">
        <v>91.3</v>
      </c>
      <c r="AF53" s="59">
        <f>SUM((IF(S53&lt;32.4,1,0))+(IF(T53&gt;=8.12,1,0))+(IF(U53&lt;95,1,0))+(IF(V53&lt;30,1,0))+IF(OR(W53&lt;80,X53&gt;50),1,0)
+(IF(Y53="Chưa đạt chuẩn",1,0))+(IF(Z53&lt;50,1,0))+(IF(OR( IFERROR(--TRIM(MID(AA53, FIND("Nội trú:", AA53)+8, FIND(";",AA53&amp;";", FIND("Nội trú:", AA53))-FIND("Nội trú:", AA53)-8))&lt;80, FALSE), IFERROR(--TRIM(MID(AA53, FIND("Bán trú:", AA53)+8, FIND(";", AA53&amp;";", FIND("Bán trú:", AA53))-FIND("Bán trú:",AA53)-8))&lt;60, FALSE)), 1, 0))+(IF(AB53&lt;50,1,0))+IF(OR(AC53="chưa có",AC53="có nhưng chưa đạt chuẩn"),1,0)+(IF(AD53&lt;95,1,0))+(IF(AE53&lt;50,1,0)))</f>
        <v>1</v>
      </c>
      <c r="AG53" s="30">
        <f>0/61*100</f>
        <v>0</v>
      </c>
      <c r="AH53" s="4" t="str">
        <f t="shared" si="3"/>
        <v>I</v>
      </c>
      <c r="AI53" s="24"/>
      <c r="AJ53" s="47"/>
      <c r="AK53" s="31">
        <f t="shared" si="7"/>
        <v>9.3000000000000007</v>
      </c>
      <c r="AL53" s="31">
        <f t="shared" ref="AL53:AL84" si="9">L53-AB53</f>
        <v>0</v>
      </c>
      <c r="AM53" s="31" t="e">
        <f>P53-#REF!</f>
        <v>#REF!</v>
      </c>
    </row>
    <row r="54" spans="1:39" ht="45" x14ac:dyDescent="0.25">
      <c r="A54" s="27">
        <v>48</v>
      </c>
      <c r="B54" s="2" t="s">
        <v>94</v>
      </c>
      <c r="C54" s="4">
        <v>58.3</v>
      </c>
      <c r="D54" s="4">
        <v>2.68</v>
      </c>
      <c r="E54" s="17">
        <v>93.6</v>
      </c>
      <c r="F54" s="4">
        <v>21.1</v>
      </c>
      <c r="G54" s="4">
        <v>92.9</v>
      </c>
      <c r="H54" s="4">
        <v>3.97</v>
      </c>
      <c r="I54" s="4" t="s">
        <v>263</v>
      </c>
      <c r="J54" s="4">
        <v>100</v>
      </c>
      <c r="K54" s="28" t="s">
        <v>265</v>
      </c>
      <c r="L54" s="4">
        <v>100</v>
      </c>
      <c r="M54" s="4" t="s">
        <v>223</v>
      </c>
      <c r="N54" s="4">
        <v>95.8</v>
      </c>
      <c r="O54" s="4">
        <v>88.8</v>
      </c>
      <c r="P54" s="29">
        <f>SUM((IF(C54&lt;32.4,1,0))+(IF(D54&gt;=8.12,1,0))+(IF(E54&lt;95,1,0))+(IF(F54&lt;30,1,0))+IF(OR(G54&lt;80,H54&gt;50),1,0)+(IF(I54="Chưa đạt chuẩn",1,0))+(IF(J54&lt;50,1,0))+(IF(L54&lt;50,1,0))+IF(OR(M54="chưa có",M54="có nhưng chưa đạt chuẩn"),1,0)+(IF(N54&lt;95,1,0))+(IF(O54&lt;50,1,0)))</f>
        <v>3</v>
      </c>
      <c r="Q54" s="30">
        <f>3/24*100</f>
        <v>12.5</v>
      </c>
      <c r="R54" s="4" t="str">
        <f t="shared" si="5"/>
        <v>II</v>
      </c>
      <c r="S54" s="145">
        <v>58.3</v>
      </c>
      <c r="T54" s="149">
        <v>4.29</v>
      </c>
      <c r="U54" s="149">
        <v>93.647856922602529</v>
      </c>
      <c r="V54" s="145">
        <v>18.100000000000001</v>
      </c>
      <c r="W54" s="145">
        <v>100</v>
      </c>
      <c r="X54" s="145">
        <v>38.97</v>
      </c>
      <c r="Y54" s="145" t="s">
        <v>263</v>
      </c>
      <c r="Z54" s="150">
        <v>100</v>
      </c>
      <c r="AA54" s="145" t="s">
        <v>265</v>
      </c>
      <c r="AB54" s="145">
        <v>100</v>
      </c>
      <c r="AC54" s="145" t="s">
        <v>208</v>
      </c>
      <c r="AD54" s="145">
        <v>100</v>
      </c>
      <c r="AE54" s="145">
        <v>86.4</v>
      </c>
      <c r="AF54" s="59">
        <f t="shared" si="2"/>
        <v>2</v>
      </c>
      <c r="AG54" s="30">
        <f>3/24*100</f>
        <v>12.5</v>
      </c>
      <c r="AH54" s="4" t="str">
        <f t="shared" si="3"/>
        <v>I</v>
      </c>
      <c r="AI54" s="24"/>
      <c r="AJ54" s="47"/>
      <c r="AK54" s="31">
        <f t="shared" si="7"/>
        <v>3</v>
      </c>
      <c r="AL54" s="31">
        <f t="shared" si="9"/>
        <v>0</v>
      </c>
      <c r="AM54" s="31" t="e">
        <f>P54-#REF!</f>
        <v>#REF!</v>
      </c>
    </row>
    <row r="55" spans="1:39" ht="45" x14ac:dyDescent="0.25">
      <c r="A55" s="27">
        <v>49</v>
      </c>
      <c r="B55" s="2" t="s">
        <v>95</v>
      </c>
      <c r="C55" s="4">
        <v>60.1</v>
      </c>
      <c r="D55" s="4">
        <v>4.5999999999999996</v>
      </c>
      <c r="E55" s="17">
        <v>94.4</v>
      </c>
      <c r="F55" s="4">
        <v>12</v>
      </c>
      <c r="G55" s="4">
        <v>100</v>
      </c>
      <c r="H55" s="4">
        <v>0</v>
      </c>
      <c r="I55" s="4" t="s">
        <v>263</v>
      </c>
      <c r="J55" s="4">
        <v>100</v>
      </c>
      <c r="K55" s="28" t="s">
        <v>265</v>
      </c>
      <c r="L55" s="4">
        <v>100</v>
      </c>
      <c r="M55" s="4" t="s">
        <v>223</v>
      </c>
      <c r="N55" s="4">
        <v>100</v>
      </c>
      <c r="O55" s="4">
        <v>87.5</v>
      </c>
      <c r="P55" s="29">
        <f>SUM((IF(C55&lt;32.4,1,0))+(IF(D55&gt;=8.12,1,0))+(IF(E55&lt;95,1,0))+(IF(F55&lt;30,1,0))+IF(OR(G55&lt;80,H55&gt;50),1,0)
+(IF(I55="Chưa đạt chuẩn",1,0))+(IF(J55&lt;50,1,0))+(IF(OR( IFERROR(--TRIM(MID(K55, FIND("Nội trú:", K55)+8, FIND(";",K55&amp;";", FIND("Nội trú:", K55))-FIND("Nội trú:", K55)-8))&gt;=20, FALSE), IFERROR(--TRIM(MID(K55, FIND("Bán trú:", K55)+8, FIND(";", K55&amp;";", FIND("Bán trú:", K55))-FIND("Bán trú:",K55)-8))&gt;=40, FALSE)), 1, 0))+(IF(L55&lt;50,1,0))+IF(OR(M55="chưa có",M55="có nhưng chưa đạt chuẩn"),1,0)+(IF(N55&lt;95,1,0))+(IF(O55&lt;50,1,0)))</f>
        <v>3</v>
      </c>
      <c r="Q55" s="30">
        <f>0/24*100</f>
        <v>0</v>
      </c>
      <c r="R55" s="4" t="str">
        <f t="shared" si="5"/>
        <v>II</v>
      </c>
      <c r="S55" s="145">
        <v>60.1</v>
      </c>
      <c r="T55" s="149">
        <v>4.62</v>
      </c>
      <c r="U55" s="149">
        <v>94.446248782072104</v>
      </c>
      <c r="V55" s="145">
        <v>5.5</v>
      </c>
      <c r="W55" s="145">
        <v>100</v>
      </c>
      <c r="X55" s="145">
        <v>0</v>
      </c>
      <c r="Y55" s="145" t="s">
        <v>263</v>
      </c>
      <c r="Z55" s="150">
        <v>100</v>
      </c>
      <c r="AA55" s="145" t="s">
        <v>265</v>
      </c>
      <c r="AB55" s="145">
        <v>100</v>
      </c>
      <c r="AC55" s="145" t="s">
        <v>208</v>
      </c>
      <c r="AD55" s="145">
        <v>100</v>
      </c>
      <c r="AE55" s="145">
        <v>79.400000000000006</v>
      </c>
      <c r="AF55" s="59">
        <f t="shared" si="2"/>
        <v>2</v>
      </c>
      <c r="AG55" s="30">
        <f>0/24*100</f>
        <v>0</v>
      </c>
      <c r="AH55" s="4" t="str">
        <f t="shared" si="3"/>
        <v>I</v>
      </c>
      <c r="AI55" s="24"/>
      <c r="AJ55" s="47"/>
      <c r="AK55" s="31">
        <f t="shared" si="7"/>
        <v>6.5</v>
      </c>
      <c r="AL55" s="31">
        <f t="shared" si="9"/>
        <v>0</v>
      </c>
      <c r="AM55" s="31" t="e">
        <f>P55-#REF!</f>
        <v>#REF!</v>
      </c>
    </row>
    <row r="56" spans="1:39" ht="45" x14ac:dyDescent="0.25">
      <c r="A56" s="27">
        <v>50</v>
      </c>
      <c r="B56" s="2" t="s">
        <v>96</v>
      </c>
      <c r="C56" s="4">
        <v>62</v>
      </c>
      <c r="D56" s="4">
        <v>2.89</v>
      </c>
      <c r="E56" s="17">
        <v>100</v>
      </c>
      <c r="F56" s="4">
        <v>28</v>
      </c>
      <c r="G56" s="4" t="s">
        <v>424</v>
      </c>
      <c r="H56" s="4" t="s">
        <v>425</v>
      </c>
      <c r="I56" s="4" t="s">
        <v>263</v>
      </c>
      <c r="J56" s="4">
        <v>100</v>
      </c>
      <c r="K56" s="28" t="s">
        <v>265</v>
      </c>
      <c r="L56" s="4">
        <v>37</v>
      </c>
      <c r="M56" s="4" t="s">
        <v>223</v>
      </c>
      <c r="N56" s="4">
        <v>93</v>
      </c>
      <c r="O56" s="4">
        <v>93.06</v>
      </c>
      <c r="P56" s="29">
        <f>SUM((IF(C56&lt;32.4,1,0))+(IF(D56&gt;=8.12,1,0))+(IF(E56&lt;95,1,0))+(IF(F56&lt;30,1,0))+IF(OR(G56&lt;80,H56&gt;50),1,0)+(IF(I56="Chưa đạt chuẩn",1,0))+(IF(J56&lt;50,1,0))+(IF(L56&lt;50,1,0))+IF(OR(M56="chưa có",M56="có nhưng chưa đạt chuẩn"),1,0)+(IF(N56&lt;95,1,0))+(IF(O56&lt;50,1,0)))</f>
        <v>5</v>
      </c>
      <c r="Q56" s="30">
        <f>0/24*100</f>
        <v>0</v>
      </c>
      <c r="R56" s="4" t="str">
        <f t="shared" si="5"/>
        <v>II</v>
      </c>
      <c r="S56" s="145">
        <v>55.7</v>
      </c>
      <c r="T56" s="149">
        <v>2.8899999999999997</v>
      </c>
      <c r="U56" s="149">
        <v>97.468781640229494</v>
      </c>
      <c r="V56" s="145">
        <v>20.100000000000001</v>
      </c>
      <c r="W56" s="145">
        <v>100</v>
      </c>
      <c r="X56" s="145">
        <v>29</v>
      </c>
      <c r="Y56" s="145" t="s">
        <v>263</v>
      </c>
      <c r="Z56" s="150">
        <v>100</v>
      </c>
      <c r="AA56" s="145" t="s">
        <v>265</v>
      </c>
      <c r="AB56" s="145">
        <v>37</v>
      </c>
      <c r="AC56" s="145" t="s">
        <v>208</v>
      </c>
      <c r="AD56" s="145" t="s">
        <v>147</v>
      </c>
      <c r="AE56" s="145">
        <v>89.1</v>
      </c>
      <c r="AF56" s="59">
        <f t="shared" si="2"/>
        <v>2</v>
      </c>
      <c r="AG56" s="30">
        <f>0/24*100</f>
        <v>0</v>
      </c>
      <c r="AH56" s="4" t="str">
        <f t="shared" si="3"/>
        <v>I</v>
      </c>
      <c r="AI56" s="24"/>
      <c r="AJ56" s="47"/>
      <c r="AK56" s="31">
        <f t="shared" si="7"/>
        <v>7.8999999999999986</v>
      </c>
      <c r="AL56" s="31">
        <f t="shared" si="9"/>
        <v>0</v>
      </c>
      <c r="AM56" s="31" t="e">
        <f>P56-#REF!</f>
        <v>#REF!</v>
      </c>
    </row>
    <row r="57" spans="1:39" ht="45" x14ac:dyDescent="0.25">
      <c r="A57" s="27">
        <v>51</v>
      </c>
      <c r="B57" s="2" t="s">
        <v>97</v>
      </c>
      <c r="C57" s="4">
        <v>55.7</v>
      </c>
      <c r="D57" s="4">
        <v>4.5</v>
      </c>
      <c r="E57" s="17">
        <v>98.9</v>
      </c>
      <c r="F57" s="4">
        <v>32.880000000000003</v>
      </c>
      <c r="G57" s="4">
        <v>82.8</v>
      </c>
      <c r="H57" s="4">
        <v>17.2</v>
      </c>
      <c r="I57" s="4" t="s">
        <v>263</v>
      </c>
      <c r="J57" s="4">
        <v>100</v>
      </c>
      <c r="K57" s="28" t="s">
        <v>265</v>
      </c>
      <c r="L57" s="4">
        <v>97.1</v>
      </c>
      <c r="M57" s="4" t="s">
        <v>467</v>
      </c>
      <c r="N57" s="4">
        <v>100</v>
      </c>
      <c r="O57" s="4">
        <v>93</v>
      </c>
      <c r="P57" s="29">
        <f t="shared" ref="P57:P67" si="10">SUM((IF(C57&lt;32.4,1,0))+(IF(D57&gt;=8.12,1,0))+(IF(E57&lt;95,1,0))+(IF(F57&lt;30,1,0))+IF(OR(G57&lt;80,H57&gt;50),1,0)
+(IF(I57="Chưa đạt chuẩn",1,0))+(IF(J57&lt;50,1,0))+(IF(OR( IFERROR(--TRIM(MID(K57, FIND("Nội trú:", K57)+8, FIND(";",K57&amp;";", FIND("Nội trú:", K57))-FIND("Nội trú:", K57)-8))&gt;=20, FALSE), IFERROR(--TRIM(MID(K57, FIND("Bán trú:", K57)+8, FIND(";", K57&amp;";", FIND("Bán trú:", K57))-FIND("Bán trú:",K57)-8))&gt;=40, FALSE)), 1, 0))+(IF(L57&lt;50,1,0))+IF(OR(M57="chưa có",M57="có nhưng chưa đạt chuẩn"),1,0)+(IF(N57&lt;95,1,0))+(IF(O57&lt;50,1,0)))</f>
        <v>1</v>
      </c>
      <c r="Q57" s="30">
        <f>0/30*100</f>
        <v>0</v>
      </c>
      <c r="R57" s="4" t="str">
        <f t="shared" si="5"/>
        <v>I</v>
      </c>
      <c r="S57" s="145">
        <v>55.7</v>
      </c>
      <c r="T57" s="149">
        <v>4.57</v>
      </c>
      <c r="U57" s="149">
        <v>98.717606198236709</v>
      </c>
      <c r="V57" s="145">
        <v>17.7</v>
      </c>
      <c r="W57" s="145">
        <v>82.8</v>
      </c>
      <c r="X57" s="145">
        <v>17.2</v>
      </c>
      <c r="Y57" s="145" t="s">
        <v>263</v>
      </c>
      <c r="Z57" s="150">
        <v>100</v>
      </c>
      <c r="AA57" s="145" t="s">
        <v>265</v>
      </c>
      <c r="AB57" s="145">
        <v>97.1</v>
      </c>
      <c r="AC57" s="145" t="s">
        <v>208</v>
      </c>
      <c r="AD57" s="145">
        <v>100</v>
      </c>
      <c r="AE57" s="145">
        <v>88.9</v>
      </c>
      <c r="AF57" s="59">
        <f t="shared" si="2"/>
        <v>1</v>
      </c>
      <c r="AG57" s="30">
        <f>0/30*100</f>
        <v>0</v>
      </c>
      <c r="AH57" s="4" t="str">
        <f t="shared" si="3"/>
        <v>I</v>
      </c>
      <c r="AI57" s="24"/>
      <c r="AJ57" s="47"/>
      <c r="AK57" s="31">
        <f t="shared" si="7"/>
        <v>15.180000000000003</v>
      </c>
      <c r="AL57" s="31">
        <f t="shared" si="9"/>
        <v>0</v>
      </c>
      <c r="AM57" s="31" t="e">
        <f>P57-#REF!</f>
        <v>#REF!</v>
      </c>
    </row>
    <row r="58" spans="1:39" ht="30" x14ac:dyDescent="0.25">
      <c r="A58" s="27">
        <v>52</v>
      </c>
      <c r="B58" s="2" t="s">
        <v>145</v>
      </c>
      <c r="C58" s="4">
        <v>45.21</v>
      </c>
      <c r="D58" s="4">
        <v>30</v>
      </c>
      <c r="E58" s="17">
        <v>86.85</v>
      </c>
      <c r="F58" s="4">
        <v>26.99</v>
      </c>
      <c r="G58" s="4">
        <v>75</v>
      </c>
      <c r="H58" s="4">
        <v>51.68</v>
      </c>
      <c r="I58" s="4" t="s">
        <v>263</v>
      </c>
      <c r="J58" s="4">
        <v>75</v>
      </c>
      <c r="K58" s="28" t="s">
        <v>768</v>
      </c>
      <c r="L58" s="4">
        <v>48</v>
      </c>
      <c r="M58" s="4" t="s">
        <v>388</v>
      </c>
      <c r="N58" s="4">
        <v>91.42</v>
      </c>
      <c r="O58" s="4">
        <v>91.31</v>
      </c>
      <c r="P58" s="29">
        <f t="shared" si="10"/>
        <v>7</v>
      </c>
      <c r="Q58" s="30">
        <f>33/35*100</f>
        <v>94.285714285714278</v>
      </c>
      <c r="R58" s="4" t="str">
        <f t="shared" si="5"/>
        <v>III</v>
      </c>
      <c r="S58" s="145">
        <v>47.2</v>
      </c>
      <c r="T58" s="149">
        <v>52.832292595896519</v>
      </c>
      <c r="U58" s="149">
        <v>87.591564927857945</v>
      </c>
      <c r="V58" s="145">
        <v>25</v>
      </c>
      <c r="W58" s="145">
        <v>79</v>
      </c>
      <c r="X58" s="145">
        <v>51.68</v>
      </c>
      <c r="Y58" s="145" t="s">
        <v>263</v>
      </c>
      <c r="Z58" s="150">
        <v>75</v>
      </c>
      <c r="AA58" s="145" t="s">
        <v>1266</v>
      </c>
      <c r="AB58" s="145">
        <v>48</v>
      </c>
      <c r="AC58" s="145" t="s">
        <v>263</v>
      </c>
      <c r="AD58" s="145">
        <v>91</v>
      </c>
      <c r="AE58" s="145">
        <v>91.71</v>
      </c>
      <c r="AF58" s="59">
        <f t="shared" si="2"/>
        <v>7</v>
      </c>
      <c r="AG58" s="30">
        <f>33/35*100</f>
        <v>94.285714285714278</v>
      </c>
      <c r="AH58" s="4" t="str">
        <f t="shared" si="3"/>
        <v>III</v>
      </c>
      <c r="AI58" s="24"/>
      <c r="AJ58" s="47"/>
      <c r="AK58" s="31">
        <f t="shared" si="7"/>
        <v>1.9899999999999984</v>
      </c>
      <c r="AL58" s="31">
        <f t="shared" si="9"/>
        <v>0</v>
      </c>
      <c r="AM58" s="31" t="e">
        <f>P58-#REF!</f>
        <v>#REF!</v>
      </c>
    </row>
    <row r="59" spans="1:39" ht="30" x14ac:dyDescent="0.25">
      <c r="A59" s="27">
        <v>53</v>
      </c>
      <c r="B59" s="2" t="s">
        <v>144</v>
      </c>
      <c r="C59" s="4">
        <v>41</v>
      </c>
      <c r="D59" s="4">
        <v>56.769999999999996</v>
      </c>
      <c r="E59" s="17">
        <v>72.040000000000006</v>
      </c>
      <c r="F59" s="4">
        <v>19.035054655107427</v>
      </c>
      <c r="G59" s="4">
        <v>28.22</v>
      </c>
      <c r="H59" s="4">
        <v>71.78</v>
      </c>
      <c r="I59" s="4" t="s">
        <v>263</v>
      </c>
      <c r="J59" s="4">
        <v>90.91</v>
      </c>
      <c r="K59" s="28" t="s">
        <v>349</v>
      </c>
      <c r="L59" s="4">
        <v>29.17</v>
      </c>
      <c r="M59" s="4" t="s">
        <v>223</v>
      </c>
      <c r="N59" s="4">
        <v>85</v>
      </c>
      <c r="O59" s="4">
        <v>48.09649453448926</v>
      </c>
      <c r="P59" s="29">
        <f t="shared" si="10"/>
        <v>9</v>
      </c>
      <c r="Q59" s="30">
        <f>20/20*100</f>
        <v>100</v>
      </c>
      <c r="R59" s="4" t="str">
        <f t="shared" si="5"/>
        <v>III</v>
      </c>
      <c r="S59" s="145">
        <v>45.3</v>
      </c>
      <c r="T59" s="149">
        <v>56.765925367508473</v>
      </c>
      <c r="U59" s="149">
        <v>72.043413173652695</v>
      </c>
      <c r="V59" s="150">
        <v>22</v>
      </c>
      <c r="W59" s="145">
        <v>100</v>
      </c>
      <c r="X59" s="145">
        <v>71.78</v>
      </c>
      <c r="Y59" s="145" t="s">
        <v>263</v>
      </c>
      <c r="Z59" s="150">
        <v>100</v>
      </c>
      <c r="AA59" s="145" t="s">
        <v>1232</v>
      </c>
      <c r="AB59" s="145">
        <v>29.2</v>
      </c>
      <c r="AC59" s="145" t="s">
        <v>208</v>
      </c>
      <c r="AD59" s="145">
        <v>85</v>
      </c>
      <c r="AE59" s="145">
        <v>88.96</v>
      </c>
      <c r="AF59" s="59">
        <f t="shared" si="2"/>
        <v>7</v>
      </c>
      <c r="AG59" s="30">
        <f>20/20*100</f>
        <v>100</v>
      </c>
      <c r="AH59" s="4" t="str">
        <f t="shared" si="3"/>
        <v>III</v>
      </c>
      <c r="AI59" s="24"/>
      <c r="AJ59" s="47"/>
      <c r="AK59" s="31">
        <f t="shared" si="7"/>
        <v>-2.9649453448925733</v>
      </c>
      <c r="AL59" s="31">
        <f t="shared" si="9"/>
        <v>-2.9999999999997584E-2</v>
      </c>
      <c r="AM59" s="31" t="e">
        <f>P59-#REF!</f>
        <v>#REF!</v>
      </c>
    </row>
    <row r="60" spans="1:39" ht="45" x14ac:dyDescent="0.25">
      <c r="A60" s="27">
        <v>54</v>
      </c>
      <c r="B60" s="2" t="s">
        <v>98</v>
      </c>
      <c r="C60" s="4">
        <v>42.49</v>
      </c>
      <c r="D60" s="4">
        <v>39.04</v>
      </c>
      <c r="E60" s="17">
        <v>93.4</v>
      </c>
      <c r="F60" s="4">
        <v>23</v>
      </c>
      <c r="G60" s="4">
        <v>51.9</v>
      </c>
      <c r="H60" s="4">
        <v>48.1</v>
      </c>
      <c r="I60" s="4" t="s">
        <v>263</v>
      </c>
      <c r="J60" s="4">
        <v>9</v>
      </c>
      <c r="K60" s="28" t="s">
        <v>1147</v>
      </c>
      <c r="L60" s="4">
        <v>90</v>
      </c>
      <c r="M60" s="4" t="s">
        <v>209</v>
      </c>
      <c r="N60" s="4">
        <v>100</v>
      </c>
      <c r="O60" s="4">
        <v>90</v>
      </c>
      <c r="P60" s="29">
        <f t="shared" si="10"/>
        <v>7</v>
      </c>
      <c r="Q60" s="30">
        <f>31/59*100</f>
        <v>52.542372881355938</v>
      </c>
      <c r="R60" s="4" t="str">
        <f t="shared" si="5"/>
        <v>III</v>
      </c>
      <c r="S60" s="145">
        <v>42.49</v>
      </c>
      <c r="T60" s="149">
        <v>39.051669817265278</v>
      </c>
      <c r="U60" s="149">
        <v>93.415248897290496</v>
      </c>
      <c r="V60" s="145">
        <v>26.8</v>
      </c>
      <c r="W60" s="145">
        <v>51.9</v>
      </c>
      <c r="X60" s="145">
        <v>48.1</v>
      </c>
      <c r="Y60" s="145" t="s">
        <v>263</v>
      </c>
      <c r="Z60" s="150">
        <v>75</v>
      </c>
      <c r="AA60" s="145" t="s">
        <v>1233</v>
      </c>
      <c r="AB60" s="145">
        <v>90</v>
      </c>
      <c r="AC60" s="145" t="s">
        <v>263</v>
      </c>
      <c r="AD60" s="145">
        <v>100</v>
      </c>
      <c r="AE60" s="145">
        <v>88.61</v>
      </c>
      <c r="AF60" s="59">
        <f t="shared" si="2"/>
        <v>5</v>
      </c>
      <c r="AG60" s="30">
        <f>31/59*100</f>
        <v>52.542372881355938</v>
      </c>
      <c r="AH60" s="4" t="str">
        <f t="shared" si="3"/>
        <v>III</v>
      </c>
      <c r="AI60" s="24"/>
      <c r="AJ60" s="47"/>
      <c r="AK60" s="31">
        <f t="shared" si="7"/>
        <v>-3.8000000000000007</v>
      </c>
      <c r="AL60" s="31">
        <f t="shared" si="9"/>
        <v>0</v>
      </c>
      <c r="AM60" s="31" t="e">
        <f>P60-#REF!</f>
        <v>#REF!</v>
      </c>
    </row>
    <row r="61" spans="1:39" ht="45" x14ac:dyDescent="0.25">
      <c r="A61" s="27">
        <v>55</v>
      </c>
      <c r="B61" s="2" t="s">
        <v>143</v>
      </c>
      <c r="C61" s="4">
        <v>45.2</v>
      </c>
      <c r="D61" s="4">
        <v>62.46</v>
      </c>
      <c r="E61" s="17">
        <v>90.1</v>
      </c>
      <c r="F61" s="4">
        <v>14.97</v>
      </c>
      <c r="G61" s="4">
        <v>61.4</v>
      </c>
      <c r="H61" s="4">
        <v>79</v>
      </c>
      <c r="I61" s="4" t="s">
        <v>263</v>
      </c>
      <c r="J61" s="4">
        <v>87.5</v>
      </c>
      <c r="K61" s="28" t="s">
        <v>1150</v>
      </c>
      <c r="L61" s="4">
        <v>42</v>
      </c>
      <c r="M61" s="4" t="s">
        <v>209</v>
      </c>
      <c r="N61" s="4">
        <v>100</v>
      </c>
      <c r="O61" s="4">
        <v>88.33</v>
      </c>
      <c r="P61" s="29">
        <f t="shared" si="10"/>
        <v>7</v>
      </c>
      <c r="Q61" s="30">
        <f>22/22*100</f>
        <v>100</v>
      </c>
      <c r="R61" s="4" t="str">
        <f t="shared" si="5"/>
        <v>III</v>
      </c>
      <c r="S61" s="145">
        <v>45.2</v>
      </c>
      <c r="T61" s="149">
        <v>62.397660818713447</v>
      </c>
      <c r="U61" s="149">
        <v>90.635838150289018</v>
      </c>
      <c r="V61" s="145">
        <v>20.7</v>
      </c>
      <c r="W61" s="145">
        <v>61.407249466950965</v>
      </c>
      <c r="X61" s="145">
        <v>79</v>
      </c>
      <c r="Y61" s="145" t="s">
        <v>263</v>
      </c>
      <c r="Z61" s="150">
        <v>87.5</v>
      </c>
      <c r="AA61" s="145" t="s">
        <v>1234</v>
      </c>
      <c r="AB61" s="145">
        <v>42</v>
      </c>
      <c r="AC61" s="145" t="s">
        <v>208</v>
      </c>
      <c r="AD61" s="145">
        <v>100</v>
      </c>
      <c r="AE61" s="145">
        <v>87.81</v>
      </c>
      <c r="AF61" s="59">
        <f t="shared" si="2"/>
        <v>6</v>
      </c>
      <c r="AG61" s="30">
        <f>22/22*100</f>
        <v>100</v>
      </c>
      <c r="AH61" s="4" t="str">
        <f t="shared" si="3"/>
        <v>III</v>
      </c>
      <c r="AI61" s="24"/>
      <c r="AJ61" s="47"/>
      <c r="AK61" s="31">
        <f t="shared" si="7"/>
        <v>-5.7299999999999986</v>
      </c>
      <c r="AL61" s="31">
        <f t="shared" si="9"/>
        <v>0</v>
      </c>
      <c r="AM61" s="31" t="e">
        <f>P61-#REF!</f>
        <v>#REF!</v>
      </c>
    </row>
    <row r="62" spans="1:39" ht="30" x14ac:dyDescent="0.25">
      <c r="A62" s="27">
        <v>56</v>
      </c>
      <c r="B62" s="2" t="s">
        <v>142</v>
      </c>
      <c r="C62" s="4">
        <v>51.6</v>
      </c>
      <c r="D62" s="4">
        <v>50.82</v>
      </c>
      <c r="E62" s="17">
        <v>91.77</v>
      </c>
      <c r="F62" s="4">
        <v>0</v>
      </c>
      <c r="G62" s="4">
        <v>65.81</v>
      </c>
      <c r="H62" s="4">
        <v>34.19</v>
      </c>
      <c r="I62" s="4" t="s">
        <v>263</v>
      </c>
      <c r="J62" s="4">
        <v>25</v>
      </c>
      <c r="K62" s="28" t="s">
        <v>727</v>
      </c>
      <c r="L62" s="4">
        <v>82</v>
      </c>
      <c r="M62" s="4" t="s">
        <v>223</v>
      </c>
      <c r="N62" s="4">
        <v>92.10526315789474</v>
      </c>
      <c r="O62" s="4">
        <v>83.6</v>
      </c>
      <c r="P62" s="29">
        <f t="shared" si="10"/>
        <v>8</v>
      </c>
      <c r="Q62" s="30">
        <f>34/38*100</f>
        <v>89.473684210526315</v>
      </c>
      <c r="R62" s="4" t="str">
        <f t="shared" si="5"/>
        <v>III</v>
      </c>
      <c r="S62" s="145">
        <v>51.6</v>
      </c>
      <c r="T62" s="149">
        <v>53.837597330367075</v>
      </c>
      <c r="U62" s="149">
        <v>91.634033463866146</v>
      </c>
      <c r="V62" s="145">
        <v>12.8</v>
      </c>
      <c r="W62" s="145">
        <v>65.81</v>
      </c>
      <c r="X62" s="145">
        <v>34.19</v>
      </c>
      <c r="Y62" s="145" t="s">
        <v>263</v>
      </c>
      <c r="Z62" s="150">
        <v>69.230769230769226</v>
      </c>
      <c r="AA62" s="145" t="s">
        <v>1235</v>
      </c>
      <c r="AB62" s="145">
        <v>82</v>
      </c>
      <c r="AC62" s="145" t="s">
        <v>208</v>
      </c>
      <c r="AD62" s="145" t="s">
        <v>147</v>
      </c>
      <c r="AE62" s="145">
        <v>83.58</v>
      </c>
      <c r="AF62" s="59">
        <f t="shared" si="2"/>
        <v>5</v>
      </c>
      <c r="AG62" s="30">
        <f>34/38*100</f>
        <v>89.473684210526315</v>
      </c>
      <c r="AH62" s="4" t="str">
        <f t="shared" si="3"/>
        <v>III</v>
      </c>
      <c r="AI62" s="24"/>
      <c r="AJ62" s="47"/>
      <c r="AK62" s="31">
        <f t="shared" si="7"/>
        <v>-12.8</v>
      </c>
      <c r="AL62" s="31">
        <f t="shared" si="9"/>
        <v>0</v>
      </c>
      <c r="AM62" s="31" t="e">
        <f>P62-#REF!</f>
        <v>#REF!</v>
      </c>
    </row>
    <row r="63" spans="1:39" ht="30" x14ac:dyDescent="0.25">
      <c r="A63" s="27">
        <v>57</v>
      </c>
      <c r="B63" s="2" t="s">
        <v>141</v>
      </c>
      <c r="C63" s="4">
        <v>39.4</v>
      </c>
      <c r="D63" s="4">
        <v>70.52</v>
      </c>
      <c r="E63" s="17">
        <v>85.64</v>
      </c>
      <c r="F63" s="4">
        <v>0</v>
      </c>
      <c r="G63" s="4">
        <v>84.49</v>
      </c>
      <c r="H63" s="4">
        <v>56.49</v>
      </c>
      <c r="I63" s="4" t="s">
        <v>263</v>
      </c>
      <c r="J63" s="4">
        <v>100</v>
      </c>
      <c r="K63" s="28" t="s">
        <v>935</v>
      </c>
      <c r="L63" s="4">
        <v>48.5</v>
      </c>
      <c r="M63" s="4" t="s">
        <v>263</v>
      </c>
      <c r="N63" s="4">
        <v>90</v>
      </c>
      <c r="O63" s="4">
        <v>81</v>
      </c>
      <c r="P63" s="29">
        <f t="shared" si="10"/>
        <v>6</v>
      </c>
      <c r="Q63" s="30">
        <f>11/11*100</f>
        <v>100</v>
      </c>
      <c r="R63" s="4" t="str">
        <f t="shared" si="5"/>
        <v>III</v>
      </c>
      <c r="S63" s="145">
        <v>40.5</v>
      </c>
      <c r="T63" s="149">
        <v>69.220779220779221</v>
      </c>
      <c r="U63" s="149">
        <v>87.968952134540743</v>
      </c>
      <c r="V63" s="145">
        <v>4.8</v>
      </c>
      <c r="W63" s="145">
        <v>85</v>
      </c>
      <c r="X63" s="145">
        <v>56.49</v>
      </c>
      <c r="Y63" s="145" t="s">
        <v>263</v>
      </c>
      <c r="Z63" s="150">
        <v>100</v>
      </c>
      <c r="AA63" s="145" t="s">
        <v>935</v>
      </c>
      <c r="AB63" s="145">
        <v>48.5</v>
      </c>
      <c r="AC63" s="145" t="s">
        <v>208</v>
      </c>
      <c r="AD63" s="145" t="s">
        <v>147</v>
      </c>
      <c r="AE63" s="145">
        <v>81.040000000000006</v>
      </c>
      <c r="AF63" s="59">
        <f t="shared" si="2"/>
        <v>6</v>
      </c>
      <c r="AG63" s="30">
        <f>11/11*100</f>
        <v>100</v>
      </c>
      <c r="AH63" s="4" t="str">
        <f t="shared" si="3"/>
        <v>III</v>
      </c>
      <c r="AI63" s="24"/>
      <c r="AJ63" s="47"/>
      <c r="AK63" s="31">
        <f t="shared" si="7"/>
        <v>-4.8</v>
      </c>
      <c r="AL63" s="31">
        <f t="shared" si="9"/>
        <v>0</v>
      </c>
      <c r="AM63" s="31" t="e">
        <f>P63-#REF!</f>
        <v>#REF!</v>
      </c>
    </row>
    <row r="64" spans="1:39" ht="45" x14ac:dyDescent="0.25">
      <c r="A64" s="27">
        <v>58</v>
      </c>
      <c r="B64" s="2" t="s">
        <v>140</v>
      </c>
      <c r="C64" s="4">
        <v>41.8</v>
      </c>
      <c r="D64" s="4">
        <v>62.04</v>
      </c>
      <c r="E64" s="17">
        <v>85.91</v>
      </c>
      <c r="F64" s="4">
        <v>0</v>
      </c>
      <c r="G64" s="4">
        <v>68</v>
      </c>
      <c r="H64" s="4">
        <v>53.37</v>
      </c>
      <c r="I64" s="4" t="s">
        <v>263</v>
      </c>
      <c r="J64" s="4">
        <v>60</v>
      </c>
      <c r="K64" s="28" t="s">
        <v>963</v>
      </c>
      <c r="L64" s="4">
        <v>85.8</v>
      </c>
      <c r="M64" s="4" t="s">
        <v>209</v>
      </c>
      <c r="N64" s="4">
        <v>100</v>
      </c>
      <c r="O64" s="4">
        <v>65.290000000000006</v>
      </c>
      <c r="P64" s="29">
        <f t="shared" si="10"/>
        <v>6</v>
      </c>
      <c r="Q64" s="30">
        <f>15/15*100</f>
        <v>100</v>
      </c>
      <c r="R64" s="4" t="str">
        <f t="shared" si="5"/>
        <v>III</v>
      </c>
      <c r="S64" s="145">
        <v>39.200000000000003</v>
      </c>
      <c r="T64" s="149">
        <v>62.036238136324414</v>
      </c>
      <c r="U64" s="149">
        <v>85.039370078740163</v>
      </c>
      <c r="V64" s="145">
        <v>3.9</v>
      </c>
      <c r="W64" s="145">
        <v>98</v>
      </c>
      <c r="X64" s="145">
        <v>53.37</v>
      </c>
      <c r="Y64" s="145" t="s">
        <v>263</v>
      </c>
      <c r="Z64" s="150">
        <v>100</v>
      </c>
      <c r="AA64" s="145" t="s">
        <v>1236</v>
      </c>
      <c r="AB64" s="145">
        <v>85.8</v>
      </c>
      <c r="AC64" s="145" t="s">
        <v>208</v>
      </c>
      <c r="AD64" s="145">
        <v>100</v>
      </c>
      <c r="AE64" s="145">
        <v>66.22</v>
      </c>
      <c r="AF64" s="59">
        <f t="shared" si="2"/>
        <v>5</v>
      </c>
      <c r="AG64" s="30">
        <f>15/15*100</f>
        <v>100</v>
      </c>
      <c r="AH64" s="4" t="str">
        <f t="shared" si="3"/>
        <v>III</v>
      </c>
      <c r="AI64" s="24"/>
      <c r="AJ64" s="47"/>
      <c r="AK64" s="31">
        <f t="shared" si="7"/>
        <v>-3.9</v>
      </c>
      <c r="AL64" s="31">
        <f t="shared" si="9"/>
        <v>0</v>
      </c>
      <c r="AM64" s="31" t="e">
        <f>P64-#REF!</f>
        <v>#REF!</v>
      </c>
    </row>
    <row r="65" spans="1:39" ht="30" x14ac:dyDescent="0.25">
      <c r="A65" s="27">
        <v>59</v>
      </c>
      <c r="B65" s="2" t="s">
        <v>139</v>
      </c>
      <c r="C65" s="4">
        <v>39.020000000000003</v>
      </c>
      <c r="D65" s="4">
        <v>53.67</v>
      </c>
      <c r="E65" s="17">
        <v>55</v>
      </c>
      <c r="F65" s="4">
        <v>5</v>
      </c>
      <c r="G65" s="4">
        <v>55</v>
      </c>
      <c r="H65" s="4">
        <v>5</v>
      </c>
      <c r="I65" s="4" t="s">
        <v>263</v>
      </c>
      <c r="J65" s="4">
        <v>81</v>
      </c>
      <c r="K65" s="28" t="s">
        <v>983</v>
      </c>
      <c r="L65" s="4">
        <v>30</v>
      </c>
      <c r="M65" s="4" t="s">
        <v>223</v>
      </c>
      <c r="N65" s="4">
        <v>65</v>
      </c>
      <c r="O65" s="4">
        <v>65.7</v>
      </c>
      <c r="P65" s="29">
        <f t="shared" si="10"/>
        <v>8</v>
      </c>
      <c r="Q65" s="30">
        <f>20/20*100</f>
        <v>100</v>
      </c>
      <c r="R65" s="4" t="str">
        <f t="shared" si="5"/>
        <v>III</v>
      </c>
      <c r="S65" s="145">
        <v>37.4</v>
      </c>
      <c r="T65" s="149">
        <v>53.669724770642198</v>
      </c>
      <c r="U65" s="149">
        <v>89.036697247706414</v>
      </c>
      <c r="V65" s="145">
        <v>5.9</v>
      </c>
      <c r="W65" s="145">
        <v>100</v>
      </c>
      <c r="X65" s="145">
        <v>5</v>
      </c>
      <c r="Y65" s="145" t="s">
        <v>263</v>
      </c>
      <c r="Z65" s="150">
        <v>83.333333333333343</v>
      </c>
      <c r="AA65" s="145" t="s">
        <v>983</v>
      </c>
      <c r="AB65" s="145">
        <v>30</v>
      </c>
      <c r="AC65" s="145" t="s">
        <v>208</v>
      </c>
      <c r="AD65" s="145">
        <v>75</v>
      </c>
      <c r="AE65" s="145">
        <v>79.03</v>
      </c>
      <c r="AF65" s="59">
        <f t="shared" si="2"/>
        <v>6</v>
      </c>
      <c r="AG65" s="30">
        <f>20/20*100</f>
        <v>100</v>
      </c>
      <c r="AH65" s="4" t="str">
        <f t="shared" si="3"/>
        <v>III</v>
      </c>
      <c r="AI65" s="24"/>
      <c r="AJ65" s="47"/>
      <c r="AK65" s="31">
        <f t="shared" si="7"/>
        <v>-0.90000000000000036</v>
      </c>
      <c r="AL65" s="31">
        <f t="shared" si="9"/>
        <v>0</v>
      </c>
      <c r="AM65" s="31" t="e">
        <f>P65-#REF!</f>
        <v>#REF!</v>
      </c>
    </row>
    <row r="66" spans="1:39" ht="45" x14ac:dyDescent="0.25">
      <c r="A66" s="27">
        <v>60</v>
      </c>
      <c r="B66" s="2" t="s">
        <v>138</v>
      </c>
      <c r="C66" s="30">
        <v>44.94</v>
      </c>
      <c r="D66" s="30">
        <v>50.09</v>
      </c>
      <c r="E66" s="18">
        <v>97.75</v>
      </c>
      <c r="F66" s="30">
        <v>40.21</v>
      </c>
      <c r="G66" s="30">
        <v>100</v>
      </c>
      <c r="H66" s="30">
        <v>80.27</v>
      </c>
      <c r="I66" s="4" t="s">
        <v>208</v>
      </c>
      <c r="J66" s="4">
        <v>70.900000000000006</v>
      </c>
      <c r="K66" s="28" t="s">
        <v>688</v>
      </c>
      <c r="L66" s="4">
        <v>44.2</v>
      </c>
      <c r="M66" s="4" t="s">
        <v>209</v>
      </c>
      <c r="N66" s="4">
        <v>100</v>
      </c>
      <c r="O66" s="4">
        <v>69.22</v>
      </c>
      <c r="P66" s="29">
        <f t="shared" si="10"/>
        <v>6</v>
      </c>
      <c r="Q66" s="30">
        <f>35/53*100</f>
        <v>66.037735849056602</v>
      </c>
      <c r="R66" s="4" t="str">
        <f t="shared" si="5"/>
        <v>III</v>
      </c>
      <c r="S66" s="145">
        <v>42.1</v>
      </c>
      <c r="T66" s="149">
        <v>50.088217996471286</v>
      </c>
      <c r="U66" s="149">
        <v>97.745540090178395</v>
      </c>
      <c r="V66" s="145">
        <v>33.299999999999997</v>
      </c>
      <c r="W66" s="145">
        <v>100</v>
      </c>
      <c r="X66" s="145">
        <v>80.27</v>
      </c>
      <c r="Y66" s="145" t="s">
        <v>263</v>
      </c>
      <c r="Z66" s="150">
        <v>70</v>
      </c>
      <c r="AA66" s="145" t="s">
        <v>1237</v>
      </c>
      <c r="AB66" s="145">
        <v>44.2</v>
      </c>
      <c r="AC66" s="145" t="s">
        <v>263</v>
      </c>
      <c r="AD66" s="145">
        <v>100</v>
      </c>
      <c r="AE66" s="145">
        <v>79.08</v>
      </c>
      <c r="AF66" s="59">
        <f t="shared" si="2"/>
        <v>4</v>
      </c>
      <c r="AG66" s="30">
        <f>35/53*100</f>
        <v>66.037735849056602</v>
      </c>
      <c r="AH66" s="4" t="str">
        <f t="shared" si="3"/>
        <v>III</v>
      </c>
      <c r="AI66" s="24"/>
      <c r="AJ66" s="47"/>
      <c r="AK66" s="31">
        <f t="shared" si="7"/>
        <v>6.9100000000000037</v>
      </c>
      <c r="AL66" s="31">
        <f t="shared" si="9"/>
        <v>0</v>
      </c>
      <c r="AM66" s="31" t="e">
        <f>P66-#REF!</f>
        <v>#REF!</v>
      </c>
    </row>
    <row r="67" spans="1:39" ht="45" x14ac:dyDescent="0.25">
      <c r="A67" s="27">
        <v>61</v>
      </c>
      <c r="B67" s="2" t="s">
        <v>137</v>
      </c>
      <c r="C67" s="4">
        <v>28.5</v>
      </c>
      <c r="D67" s="4">
        <v>75.95</v>
      </c>
      <c r="E67" s="17">
        <v>95.9</v>
      </c>
      <c r="F67" s="4">
        <v>12.13</v>
      </c>
      <c r="G67" s="4">
        <v>100</v>
      </c>
      <c r="H67" s="4">
        <v>51.06</v>
      </c>
      <c r="I67" s="4" t="s">
        <v>263</v>
      </c>
      <c r="J67" s="4">
        <v>61.53846153846154</v>
      </c>
      <c r="K67" s="28" t="s">
        <v>835</v>
      </c>
      <c r="L67" s="4">
        <v>89.14</v>
      </c>
      <c r="M67" s="4" t="s">
        <v>209</v>
      </c>
      <c r="N67" s="4">
        <v>100</v>
      </c>
      <c r="O67" s="4">
        <v>85</v>
      </c>
      <c r="P67" s="29">
        <f t="shared" si="10"/>
        <v>6</v>
      </c>
      <c r="Q67" s="30">
        <f>35/35*100</f>
        <v>100</v>
      </c>
      <c r="R67" s="4" t="str">
        <f t="shared" si="5"/>
        <v>III</v>
      </c>
      <c r="S67" s="145">
        <v>27.2</v>
      </c>
      <c r="T67" s="149">
        <v>75.791943684004693</v>
      </c>
      <c r="U67" s="149">
        <v>95.94124468496328</v>
      </c>
      <c r="V67" s="145">
        <v>7.7</v>
      </c>
      <c r="W67" s="145">
        <v>100</v>
      </c>
      <c r="X67" s="145">
        <v>51.06</v>
      </c>
      <c r="Y67" s="145" t="s">
        <v>263</v>
      </c>
      <c r="Z67" s="150">
        <v>76.92307692307692</v>
      </c>
      <c r="AA67" s="145" t="s">
        <v>835</v>
      </c>
      <c r="AB67" s="145">
        <v>89.1</v>
      </c>
      <c r="AC67" s="145" t="s">
        <v>208</v>
      </c>
      <c r="AD67" s="145" t="s">
        <v>147</v>
      </c>
      <c r="AE67" s="145">
        <v>67.13</v>
      </c>
      <c r="AF67" s="59">
        <f t="shared" si="2"/>
        <v>5</v>
      </c>
      <c r="AG67" s="30">
        <f>35/35*100</f>
        <v>100</v>
      </c>
      <c r="AH67" s="4" t="str">
        <f t="shared" si="3"/>
        <v>III</v>
      </c>
      <c r="AI67" s="24"/>
      <c r="AJ67" s="47"/>
      <c r="AK67" s="31">
        <f t="shared" si="7"/>
        <v>4.4300000000000006</v>
      </c>
      <c r="AL67" s="31">
        <f t="shared" si="9"/>
        <v>4.0000000000006253E-2</v>
      </c>
      <c r="AM67" s="31" t="e">
        <f>P67-#REF!</f>
        <v>#REF!</v>
      </c>
    </row>
    <row r="68" spans="1:39" ht="45" x14ac:dyDescent="0.25">
      <c r="A68" s="27">
        <v>62</v>
      </c>
      <c r="B68" s="2" t="s">
        <v>136</v>
      </c>
      <c r="C68" s="4">
        <v>44.4</v>
      </c>
      <c r="D68" s="4">
        <v>32.450000000000003</v>
      </c>
      <c r="E68" s="17">
        <v>100</v>
      </c>
      <c r="F68" s="4">
        <v>25.13</v>
      </c>
      <c r="G68" s="4">
        <v>75.2</v>
      </c>
      <c r="H68" s="4">
        <v>24.8</v>
      </c>
      <c r="I68" s="4" t="s">
        <v>263</v>
      </c>
      <c r="J68" s="4">
        <v>92.307692307692307</v>
      </c>
      <c r="K68" s="28" t="s">
        <v>265</v>
      </c>
      <c r="L68" s="4">
        <v>94.35</v>
      </c>
      <c r="M68" s="4" t="s">
        <v>223</v>
      </c>
      <c r="N68" s="4">
        <v>100</v>
      </c>
      <c r="O68" s="4">
        <v>85.35</v>
      </c>
      <c r="P68" s="29">
        <f>SUM((IF(C68&lt;32.4,1,0))+(IF(D68&gt;=8.12,1,0))+(IF(E68&lt;95,1,0))+(IF(F68&lt;30,1,0))+IF(OR(G68&lt;80,H68&gt;50),1,0)+(IF(I68="Chưa đạt chuẩn",1,0))+(IF(J68&lt;50,1,0))+(IF(L68&lt;50,1,0))+IF(OR(M68="chưa có",M68="có nhưng chưa đạt chuẩn"),1,0)+(IF(N68&lt;95,1,0))+(IF(O68&lt;50,1,0)))</f>
        <v>4</v>
      </c>
      <c r="Q68" s="30">
        <f>21/36*100</f>
        <v>58.333333333333336</v>
      </c>
      <c r="R68" s="4" t="str">
        <f t="shared" si="5"/>
        <v>III</v>
      </c>
      <c r="S68" s="145">
        <v>44.1</v>
      </c>
      <c r="T68" s="149">
        <v>32.451150136037597</v>
      </c>
      <c r="U68" s="149">
        <v>97.556804300024439</v>
      </c>
      <c r="V68" s="145">
        <v>28.9</v>
      </c>
      <c r="W68" s="145">
        <v>75.2</v>
      </c>
      <c r="X68" s="145">
        <v>24.8</v>
      </c>
      <c r="Y68" s="145" t="s">
        <v>263</v>
      </c>
      <c r="Z68" s="150">
        <v>92.857142857142847</v>
      </c>
      <c r="AA68" s="145" t="s">
        <v>265</v>
      </c>
      <c r="AB68" s="145">
        <v>94.4</v>
      </c>
      <c r="AC68" s="145" t="s">
        <v>208</v>
      </c>
      <c r="AD68" s="145">
        <v>100</v>
      </c>
      <c r="AE68" s="145">
        <v>83.99</v>
      </c>
      <c r="AF68" s="59">
        <f t="shared" si="2"/>
        <v>3</v>
      </c>
      <c r="AG68" s="30">
        <f>21/36*100</f>
        <v>58.333333333333336</v>
      </c>
      <c r="AH68" s="4" t="str">
        <f t="shared" si="3"/>
        <v>III</v>
      </c>
      <c r="AI68" s="24"/>
      <c r="AJ68" s="47"/>
      <c r="AK68" s="31">
        <f t="shared" si="7"/>
        <v>-3.7699999999999996</v>
      </c>
      <c r="AL68" s="31">
        <f t="shared" si="9"/>
        <v>-5.0000000000011369E-2</v>
      </c>
      <c r="AM68" s="31" t="e">
        <f>P68-#REF!</f>
        <v>#REF!</v>
      </c>
    </row>
    <row r="69" spans="1:39" ht="45" x14ac:dyDescent="0.25">
      <c r="A69" s="27">
        <v>63</v>
      </c>
      <c r="B69" s="2" t="s">
        <v>135</v>
      </c>
      <c r="C69" s="4">
        <v>30.69</v>
      </c>
      <c r="D69" s="4">
        <v>74.45</v>
      </c>
      <c r="E69" s="17">
        <v>96.43</v>
      </c>
      <c r="F69" s="4">
        <v>0</v>
      </c>
      <c r="G69" s="4">
        <v>86</v>
      </c>
      <c r="H69" s="4">
        <v>26</v>
      </c>
      <c r="I69" s="4" t="s">
        <v>263</v>
      </c>
      <c r="J69" s="4">
        <v>33.33</v>
      </c>
      <c r="K69" s="28" t="s">
        <v>1121</v>
      </c>
      <c r="L69" s="4">
        <v>2.11</v>
      </c>
      <c r="M69" s="4" t="s">
        <v>209</v>
      </c>
      <c r="N69" s="4">
        <v>51.51</v>
      </c>
      <c r="O69" s="4">
        <v>58.2</v>
      </c>
      <c r="P69" s="29">
        <f t="shared" ref="P69:P95" si="11">SUM((IF(C69&lt;32.4,1,0))+(IF(D69&gt;=8.12,1,0))+(IF(E69&lt;95,1,0))+(IF(F69&lt;30,1,0))+IF(OR(G69&lt;80,H69&gt;50),1,0)
+(IF(I69="Chưa đạt chuẩn",1,0))+(IF(J69&lt;50,1,0))+(IF(OR( IFERROR(--TRIM(MID(K69, FIND("Nội trú:", K69)+8, FIND(";",K69&amp;";", FIND("Nội trú:", K69))-FIND("Nội trú:", K69)-8))&gt;=20, FALSE), IFERROR(--TRIM(MID(K69, FIND("Bán trú:", K69)+8, FIND(";", K69&amp;";", FIND("Bán trú:", K69))-FIND("Bán trú:",K69)-8))&gt;=40, FALSE)), 1, 0))+(IF(L69&lt;50,1,0))+IF(OR(M69="chưa có",M69="có nhưng chưa đạt chuẩn"),1,0)+(IF(N69&lt;95,1,0))+(IF(O69&lt;50,1,0)))</f>
        <v>8</v>
      </c>
      <c r="Q69" s="30">
        <f>1/33*100</f>
        <v>3.0303030303030303</v>
      </c>
      <c r="R69" s="4" t="str">
        <f t="shared" si="5"/>
        <v>III</v>
      </c>
      <c r="S69" s="145">
        <v>28.4</v>
      </c>
      <c r="T69" s="149">
        <v>67.725880551301685</v>
      </c>
      <c r="U69" s="149">
        <v>96.433990895295906</v>
      </c>
      <c r="V69" s="145">
        <v>11.1</v>
      </c>
      <c r="W69" s="145">
        <v>96.2</v>
      </c>
      <c r="X69" s="145">
        <v>35</v>
      </c>
      <c r="Y69" s="145" t="s">
        <v>263</v>
      </c>
      <c r="Z69" s="150">
        <v>38.46153846153846</v>
      </c>
      <c r="AA69" s="145" t="s">
        <v>1238</v>
      </c>
      <c r="AB69" s="145">
        <v>2.11</v>
      </c>
      <c r="AC69" s="145" t="s">
        <v>208</v>
      </c>
      <c r="AD69" s="145">
        <v>85</v>
      </c>
      <c r="AE69" s="145">
        <v>52.75</v>
      </c>
      <c r="AF69" s="59">
        <f t="shared" si="2"/>
        <v>7</v>
      </c>
      <c r="AG69" s="30">
        <f>1/33*100</f>
        <v>3.0303030303030303</v>
      </c>
      <c r="AH69" s="4" t="str">
        <f t="shared" si="3"/>
        <v>III</v>
      </c>
      <c r="AI69" s="24"/>
      <c r="AJ69" s="47"/>
      <c r="AK69" s="31">
        <f t="shared" si="7"/>
        <v>-11.1</v>
      </c>
      <c r="AL69" s="31">
        <f t="shared" si="9"/>
        <v>0</v>
      </c>
      <c r="AM69" s="31" t="e">
        <f>P69-#REF!</f>
        <v>#REF!</v>
      </c>
    </row>
    <row r="70" spans="1:39" ht="30" x14ac:dyDescent="0.25">
      <c r="A70" s="27">
        <v>64</v>
      </c>
      <c r="B70" s="2" t="s">
        <v>126</v>
      </c>
      <c r="C70" s="4">
        <v>60.85</v>
      </c>
      <c r="D70" s="4">
        <v>18.18</v>
      </c>
      <c r="E70" s="17">
        <v>99.15</v>
      </c>
      <c r="F70" s="4">
        <v>26.72</v>
      </c>
      <c r="G70" s="4">
        <v>89</v>
      </c>
      <c r="H70" s="4">
        <v>32</v>
      </c>
      <c r="I70" s="4" t="s">
        <v>263</v>
      </c>
      <c r="J70" s="4">
        <v>26.67</v>
      </c>
      <c r="K70" s="28" t="s">
        <v>1149</v>
      </c>
      <c r="L70" s="4">
        <v>44</v>
      </c>
      <c r="M70" s="4" t="s">
        <v>223</v>
      </c>
      <c r="N70" s="4">
        <v>89</v>
      </c>
      <c r="O70" s="4">
        <v>97.7</v>
      </c>
      <c r="P70" s="29">
        <f t="shared" si="11"/>
        <v>7</v>
      </c>
      <c r="Q70" s="30">
        <f>10/55*100</f>
        <v>18.181818181818183</v>
      </c>
      <c r="R70" s="4" t="str">
        <f t="shared" si="5"/>
        <v>III</v>
      </c>
      <c r="S70" s="145">
        <v>60.85</v>
      </c>
      <c r="T70" s="149">
        <v>18.190127970749543</v>
      </c>
      <c r="U70" s="149">
        <v>97.425350396099944</v>
      </c>
      <c r="V70" s="145">
        <v>29</v>
      </c>
      <c r="W70" s="145">
        <v>89</v>
      </c>
      <c r="X70" s="145">
        <v>32</v>
      </c>
      <c r="Y70" s="145" t="s">
        <v>263</v>
      </c>
      <c r="Z70" s="150">
        <v>47.368421052631575</v>
      </c>
      <c r="AA70" s="145" t="s">
        <v>1239</v>
      </c>
      <c r="AB70" s="145">
        <v>44</v>
      </c>
      <c r="AC70" s="145" t="s">
        <v>223</v>
      </c>
      <c r="AD70" s="145">
        <v>87</v>
      </c>
      <c r="AE70" s="145">
        <v>97.57</v>
      </c>
      <c r="AF70" s="59">
        <f t="shared" si="2"/>
        <v>6</v>
      </c>
      <c r="AG70" s="30">
        <f>10/55*100</f>
        <v>18.181818181818183</v>
      </c>
      <c r="AH70" s="4" t="str">
        <f t="shared" si="3"/>
        <v>III</v>
      </c>
      <c r="AI70" s="24"/>
      <c r="AJ70" s="47"/>
      <c r="AK70" s="31">
        <f t="shared" si="7"/>
        <v>-2.2800000000000011</v>
      </c>
      <c r="AL70" s="31">
        <f t="shared" si="9"/>
        <v>0</v>
      </c>
      <c r="AM70" s="31" t="e">
        <f>P70-#REF!</f>
        <v>#REF!</v>
      </c>
    </row>
    <row r="71" spans="1:39" s="58" customFormat="1" ht="45" x14ac:dyDescent="0.25">
      <c r="A71" s="51">
        <v>65</v>
      </c>
      <c r="B71" s="52" t="s">
        <v>127</v>
      </c>
      <c r="C71" s="53">
        <v>32.1</v>
      </c>
      <c r="D71" s="53">
        <v>34.5</v>
      </c>
      <c r="E71" s="50">
        <v>87</v>
      </c>
      <c r="F71" s="53">
        <v>0</v>
      </c>
      <c r="G71" s="53">
        <v>59</v>
      </c>
      <c r="H71" s="53">
        <v>78</v>
      </c>
      <c r="I71" s="53" t="s">
        <v>263</v>
      </c>
      <c r="J71" s="53">
        <v>50</v>
      </c>
      <c r="K71" s="54" t="s">
        <v>870</v>
      </c>
      <c r="L71" s="53">
        <v>65</v>
      </c>
      <c r="M71" s="53" t="s">
        <v>209</v>
      </c>
      <c r="N71" s="53">
        <v>92.86</v>
      </c>
      <c r="O71" s="53">
        <v>76.16</v>
      </c>
      <c r="P71" s="55">
        <f t="shared" si="11"/>
        <v>8</v>
      </c>
      <c r="Q71" s="56">
        <f>12/14*100</f>
        <v>85.714285714285708</v>
      </c>
      <c r="R71" s="53" t="str">
        <f t="shared" si="5"/>
        <v>III</v>
      </c>
      <c r="S71" s="147">
        <v>32.1</v>
      </c>
      <c r="T71" s="153">
        <v>62.709497206703908</v>
      </c>
      <c r="U71" s="153">
        <v>99.294283697953418</v>
      </c>
      <c r="V71" s="147">
        <v>9.1999999999999993</v>
      </c>
      <c r="W71" s="147">
        <v>100</v>
      </c>
      <c r="X71" s="147">
        <v>44</v>
      </c>
      <c r="Y71" s="147" t="s">
        <v>263</v>
      </c>
      <c r="Z71" s="154">
        <v>85.714285714285708</v>
      </c>
      <c r="AA71" s="147" t="s">
        <v>1240</v>
      </c>
      <c r="AB71" s="147">
        <v>65</v>
      </c>
      <c r="AC71" s="147" t="s">
        <v>208</v>
      </c>
      <c r="AD71" s="147">
        <v>92.8</v>
      </c>
      <c r="AE71" s="147">
        <v>84.9</v>
      </c>
      <c r="AF71" s="59">
        <f t="shared" si="2"/>
        <v>5</v>
      </c>
      <c r="AG71" s="56">
        <f>12/14*100</f>
        <v>85.714285714285708</v>
      </c>
      <c r="AH71" s="4" t="str">
        <f t="shared" si="3"/>
        <v>III</v>
      </c>
      <c r="AI71" s="49"/>
      <c r="AJ71" s="57"/>
      <c r="AK71" s="31">
        <f t="shared" ref="AK71:AK102" si="12">F71-V71</f>
        <v>-9.1999999999999993</v>
      </c>
      <c r="AL71" s="31">
        <f t="shared" si="9"/>
        <v>0</v>
      </c>
      <c r="AM71" s="31" t="e">
        <f>P71-#REF!</f>
        <v>#REF!</v>
      </c>
    </row>
    <row r="72" spans="1:39" s="58" customFormat="1" ht="30" x14ac:dyDescent="0.25">
      <c r="A72" s="51">
        <v>66</v>
      </c>
      <c r="B72" s="52" t="s">
        <v>128</v>
      </c>
      <c r="C72" s="53">
        <v>29.89</v>
      </c>
      <c r="D72" s="53">
        <v>41.46</v>
      </c>
      <c r="E72" s="50">
        <v>88.421052631578902</v>
      </c>
      <c r="F72" s="53">
        <v>9.4</v>
      </c>
      <c r="G72" s="53">
        <v>63.842105263157897</v>
      </c>
      <c r="H72" s="53">
        <v>40</v>
      </c>
      <c r="I72" s="53" t="s">
        <v>263</v>
      </c>
      <c r="J72" s="53">
        <v>25</v>
      </c>
      <c r="K72" s="54" t="s">
        <v>1136</v>
      </c>
      <c r="L72" s="53">
        <v>30</v>
      </c>
      <c r="M72" s="53" t="s">
        <v>223</v>
      </c>
      <c r="N72" s="53">
        <v>94.6</v>
      </c>
      <c r="O72" s="53">
        <v>96.5</v>
      </c>
      <c r="P72" s="55">
        <f t="shared" si="11"/>
        <v>10</v>
      </c>
      <c r="Q72" s="56">
        <f>19/19*100</f>
        <v>100</v>
      </c>
      <c r="R72" s="53" t="str">
        <f t="shared" ref="R72:R105" si="13">IF(P72&lt;3,"I",IF(AND(P72&gt;=3,P72&lt;=5,NOT(OR(P72&gt;=6,AND(P72&gt;=3,Q72&gt;=50)))),"II","III"))</f>
        <v>III</v>
      </c>
      <c r="S72" s="147">
        <v>32.1</v>
      </c>
      <c r="T72" s="153">
        <v>77.024390243902445</v>
      </c>
      <c r="U72" s="153">
        <v>99.111111111111114</v>
      </c>
      <c r="V72" s="147">
        <v>8.4</v>
      </c>
      <c r="W72" s="147">
        <v>63.84</v>
      </c>
      <c r="X72" s="147">
        <v>40</v>
      </c>
      <c r="Y72" s="147" t="s">
        <v>263</v>
      </c>
      <c r="Z72" s="154">
        <v>25</v>
      </c>
      <c r="AA72" s="147" t="s">
        <v>1241</v>
      </c>
      <c r="AB72" s="147">
        <v>30</v>
      </c>
      <c r="AC72" s="147" t="s">
        <v>208</v>
      </c>
      <c r="AD72" s="147">
        <v>89</v>
      </c>
      <c r="AE72" s="147">
        <v>89.37</v>
      </c>
      <c r="AF72" s="59">
        <f t="shared" ref="AF72:AF105" si="14">SUM((IF(S72&lt;32.4,1,0))+(IF(T72&gt;=8.12,1,0))+(IF(U72&lt;95,1,0))+(IF(V72&lt;30,1,0))+IF(OR(W72&lt;80,X72&gt;50),1,0)
+(IF(Y72="Chưa đạt chuẩn",1,0))+(IF(Z72&lt;50,1,0))+(IF(OR( IFERROR(--TRIM(MID(AA72, FIND("Nội trú:", AA72)+8, FIND(";",AA72&amp;";", FIND("Nội trú:", AA72))-FIND("Nội trú:", AA72)-8))&lt;80, FALSE), IFERROR(--TRIM(MID(AA72, FIND("Bán trú:", AA72)+8, FIND(";", AA72&amp;";", FIND("Bán trú:", AA72))-FIND("Bán trú:",AA72)-8))&lt;60, FALSE)), 1, 0))+(IF(AB72&lt;50,1,0))+IF(OR(AC72="chưa có",AC72="có nhưng chưa đạt chuẩn"),1,0)+(IF(AD72&lt;95,1,0))+(IF(AE72&lt;50,1,0)))</f>
        <v>8</v>
      </c>
      <c r="AG72" s="56">
        <f>19/19*100</f>
        <v>100</v>
      </c>
      <c r="AH72" s="4" t="str">
        <f t="shared" ref="AH72:AH105" si="15">IF(AF72&lt;3,"I",IF(AND(AF72&gt;=3,AF72&lt;=5,NOT(OR(AF72&gt;=6,AND(AF72&gt;=3,AG72&gt;=50)))),"II","III"))</f>
        <v>III</v>
      </c>
      <c r="AI72" s="49"/>
      <c r="AJ72" s="57"/>
      <c r="AK72" s="31">
        <f t="shared" si="12"/>
        <v>1</v>
      </c>
      <c r="AL72" s="31">
        <f t="shared" si="9"/>
        <v>0</v>
      </c>
      <c r="AM72" s="31" t="e">
        <f>P72-#REF!</f>
        <v>#REF!</v>
      </c>
    </row>
    <row r="73" spans="1:39" ht="45" x14ac:dyDescent="0.25">
      <c r="A73" s="27">
        <v>67</v>
      </c>
      <c r="B73" s="2" t="s">
        <v>129</v>
      </c>
      <c r="C73" s="4">
        <v>25.8</v>
      </c>
      <c r="D73" s="4">
        <v>53.8</v>
      </c>
      <c r="E73" s="17">
        <v>99.79</v>
      </c>
      <c r="F73" s="4">
        <v>0</v>
      </c>
      <c r="G73" s="4">
        <v>56.5</v>
      </c>
      <c r="H73" s="4">
        <v>23.87</v>
      </c>
      <c r="I73" s="4" t="s">
        <v>263</v>
      </c>
      <c r="J73" s="4">
        <v>33.299999999999997</v>
      </c>
      <c r="K73" s="28" t="s">
        <v>321</v>
      </c>
      <c r="L73" s="4">
        <v>50.87</v>
      </c>
      <c r="M73" s="4" t="s">
        <v>209</v>
      </c>
      <c r="N73" s="4">
        <v>92</v>
      </c>
      <c r="O73" s="4">
        <v>79.86</v>
      </c>
      <c r="P73" s="29">
        <f t="shared" si="11"/>
        <v>8</v>
      </c>
      <c r="Q73" s="30">
        <f>16/25*100</f>
        <v>64</v>
      </c>
      <c r="R73" s="4" t="str">
        <f t="shared" si="13"/>
        <v>III</v>
      </c>
      <c r="S73" s="145">
        <v>25.8</v>
      </c>
      <c r="T73" s="149">
        <v>54.526315789473685</v>
      </c>
      <c r="U73" s="149">
        <v>99.78947368421052</v>
      </c>
      <c r="V73" s="145">
        <v>6.9</v>
      </c>
      <c r="W73" s="145">
        <v>56.5</v>
      </c>
      <c r="X73" s="145">
        <v>23.87</v>
      </c>
      <c r="Y73" s="145" t="s">
        <v>263</v>
      </c>
      <c r="Z73" s="150">
        <v>33.299999999999997</v>
      </c>
      <c r="AA73" s="145" t="s">
        <v>1242</v>
      </c>
      <c r="AB73" s="145">
        <v>50.9</v>
      </c>
      <c r="AC73" s="145" t="s">
        <v>208</v>
      </c>
      <c r="AD73" s="145">
        <v>92</v>
      </c>
      <c r="AE73" s="145">
        <v>79.64</v>
      </c>
      <c r="AF73" s="59">
        <f t="shared" si="14"/>
        <v>7</v>
      </c>
      <c r="AG73" s="30">
        <f>16/25*100</f>
        <v>64</v>
      </c>
      <c r="AH73" s="4" t="str">
        <f t="shared" si="15"/>
        <v>III</v>
      </c>
      <c r="AI73" s="24"/>
      <c r="AJ73" s="47"/>
      <c r="AK73" s="31">
        <f t="shared" si="12"/>
        <v>-6.9</v>
      </c>
      <c r="AL73" s="31">
        <f t="shared" si="9"/>
        <v>-3.0000000000001137E-2</v>
      </c>
      <c r="AM73" s="31" t="e">
        <f>P73-#REF!</f>
        <v>#REF!</v>
      </c>
    </row>
    <row r="74" spans="1:39" ht="45" x14ac:dyDescent="0.25">
      <c r="A74" s="27">
        <v>68</v>
      </c>
      <c r="B74" s="2" t="s">
        <v>130</v>
      </c>
      <c r="C74" s="4">
        <v>28.56</v>
      </c>
      <c r="D74" s="4">
        <v>69.599999999999994</v>
      </c>
      <c r="E74" s="17">
        <v>98.8</v>
      </c>
      <c r="F74" s="4">
        <v>0.5</v>
      </c>
      <c r="G74" s="4">
        <v>65</v>
      </c>
      <c r="H74" s="4">
        <v>40</v>
      </c>
      <c r="I74" s="4" t="s">
        <v>263</v>
      </c>
      <c r="J74" s="4">
        <v>42</v>
      </c>
      <c r="K74" s="28" t="s">
        <v>321</v>
      </c>
      <c r="L74" s="4">
        <v>20</v>
      </c>
      <c r="M74" s="4" t="s">
        <v>209</v>
      </c>
      <c r="N74" s="4">
        <v>90</v>
      </c>
      <c r="O74" s="4">
        <v>70</v>
      </c>
      <c r="P74" s="29">
        <f t="shared" si="11"/>
        <v>9</v>
      </c>
      <c r="Q74" s="30">
        <f>14/14*100</f>
        <v>100</v>
      </c>
      <c r="R74" s="4" t="str">
        <f t="shared" si="13"/>
        <v>III</v>
      </c>
      <c r="S74" s="145">
        <v>31.8</v>
      </c>
      <c r="T74" s="149">
        <v>69.739130434782609</v>
      </c>
      <c r="U74" s="149">
        <v>98.783666377063426</v>
      </c>
      <c r="V74" s="145">
        <v>13.2</v>
      </c>
      <c r="W74" s="145">
        <v>65</v>
      </c>
      <c r="X74" s="145">
        <v>40</v>
      </c>
      <c r="Y74" s="145" t="s">
        <v>263</v>
      </c>
      <c r="Z74" s="150">
        <v>42</v>
      </c>
      <c r="AA74" s="145" t="s">
        <v>1243</v>
      </c>
      <c r="AB74" s="145">
        <v>20</v>
      </c>
      <c r="AC74" s="145" t="s">
        <v>208</v>
      </c>
      <c r="AD74" s="145">
        <v>86</v>
      </c>
      <c r="AE74" s="145">
        <v>82.51</v>
      </c>
      <c r="AF74" s="59">
        <f t="shared" si="14"/>
        <v>8</v>
      </c>
      <c r="AG74" s="30">
        <f>14/14*100</f>
        <v>100</v>
      </c>
      <c r="AH74" s="4" t="str">
        <f t="shared" si="15"/>
        <v>III</v>
      </c>
      <c r="AI74" s="24"/>
      <c r="AJ74" s="47"/>
      <c r="AK74" s="31">
        <f t="shared" si="12"/>
        <v>-12.7</v>
      </c>
      <c r="AL74" s="31">
        <f t="shared" si="9"/>
        <v>0</v>
      </c>
      <c r="AM74" s="31" t="e">
        <f>P74-#REF!</f>
        <v>#REF!</v>
      </c>
    </row>
    <row r="75" spans="1:39" ht="45" x14ac:dyDescent="0.25">
      <c r="A75" s="27">
        <v>69</v>
      </c>
      <c r="B75" s="2" t="s">
        <v>131</v>
      </c>
      <c r="C75" s="4">
        <v>32.11</v>
      </c>
      <c r="D75" s="4">
        <v>40.26</v>
      </c>
      <c r="E75" s="17">
        <v>94.71</v>
      </c>
      <c r="F75" s="4">
        <v>0</v>
      </c>
      <c r="G75" s="4">
        <v>37.700000000000003</v>
      </c>
      <c r="H75" s="4">
        <v>62.3</v>
      </c>
      <c r="I75" s="4" t="s">
        <v>263</v>
      </c>
      <c r="J75" s="4">
        <v>66.7</v>
      </c>
      <c r="K75" s="28" t="s">
        <v>536</v>
      </c>
      <c r="L75" s="4">
        <v>45.55</v>
      </c>
      <c r="M75" s="4" t="s">
        <v>209</v>
      </c>
      <c r="N75" s="4">
        <v>85.2</v>
      </c>
      <c r="O75" s="4">
        <v>76.5</v>
      </c>
      <c r="P75" s="29">
        <f t="shared" si="11"/>
        <v>9</v>
      </c>
      <c r="Q75" s="30">
        <f>21/27*100</f>
        <v>77.777777777777786</v>
      </c>
      <c r="R75" s="4" t="str">
        <f t="shared" si="13"/>
        <v>III</v>
      </c>
      <c r="S75" s="145">
        <v>34.700000000000003</v>
      </c>
      <c r="T75" s="149">
        <v>40.258722069776553</v>
      </c>
      <c r="U75" s="149">
        <v>94.706097115735673</v>
      </c>
      <c r="V75" s="145">
        <v>10.3</v>
      </c>
      <c r="W75" s="145">
        <v>100</v>
      </c>
      <c r="X75" s="145">
        <v>78.75</v>
      </c>
      <c r="Y75" s="145" t="s">
        <v>263</v>
      </c>
      <c r="Z75" s="150">
        <v>50</v>
      </c>
      <c r="AA75" s="145" t="s">
        <v>1244</v>
      </c>
      <c r="AB75" s="145">
        <v>45.6</v>
      </c>
      <c r="AC75" s="145" t="s">
        <v>208</v>
      </c>
      <c r="AD75" s="145">
        <v>85.2</v>
      </c>
      <c r="AE75" s="145">
        <v>78.13</v>
      </c>
      <c r="AF75" s="59">
        <f t="shared" si="14"/>
        <v>7</v>
      </c>
      <c r="AG75" s="30">
        <f>21/27*100</f>
        <v>77.777777777777786</v>
      </c>
      <c r="AH75" s="4" t="str">
        <f t="shared" si="15"/>
        <v>III</v>
      </c>
      <c r="AI75" s="24"/>
      <c r="AJ75" s="47"/>
      <c r="AK75" s="31">
        <f t="shared" si="12"/>
        <v>-10.3</v>
      </c>
      <c r="AL75" s="31">
        <f t="shared" si="9"/>
        <v>-5.0000000000004263E-2</v>
      </c>
      <c r="AM75" s="31" t="e">
        <f>P75-#REF!</f>
        <v>#REF!</v>
      </c>
    </row>
    <row r="76" spans="1:39" ht="45" x14ac:dyDescent="0.25">
      <c r="A76" s="27">
        <v>70</v>
      </c>
      <c r="B76" s="2" t="s">
        <v>132</v>
      </c>
      <c r="C76" s="4">
        <v>31.6</v>
      </c>
      <c r="D76" s="4">
        <v>63.16</v>
      </c>
      <c r="E76" s="17">
        <v>94.97</v>
      </c>
      <c r="F76" s="4">
        <v>0</v>
      </c>
      <c r="G76" s="4">
        <v>49.989333333333342</v>
      </c>
      <c r="H76" s="4">
        <v>59.33</v>
      </c>
      <c r="I76" s="4" t="s">
        <v>263</v>
      </c>
      <c r="J76" s="4">
        <v>37.5</v>
      </c>
      <c r="K76" s="28" t="s">
        <v>371</v>
      </c>
      <c r="L76" s="4">
        <v>48.93</v>
      </c>
      <c r="M76" s="4" t="s">
        <v>209</v>
      </c>
      <c r="N76" s="4">
        <v>66.7</v>
      </c>
      <c r="O76" s="4">
        <v>81.400000000000006</v>
      </c>
      <c r="P76" s="29">
        <f t="shared" si="11"/>
        <v>10</v>
      </c>
      <c r="Q76" s="30">
        <f>15/15*100</f>
        <v>100</v>
      </c>
      <c r="R76" s="4" t="str">
        <f t="shared" si="13"/>
        <v>III</v>
      </c>
      <c r="S76" s="145">
        <v>31.6</v>
      </c>
      <c r="T76" s="149">
        <v>63.163906339234714</v>
      </c>
      <c r="U76" s="149">
        <v>94.97430039977155</v>
      </c>
      <c r="V76" s="145">
        <v>9.3000000000000007</v>
      </c>
      <c r="W76" s="145">
        <v>49.989333333333342</v>
      </c>
      <c r="X76" s="145">
        <v>59.33</v>
      </c>
      <c r="Y76" s="145" t="s">
        <v>263</v>
      </c>
      <c r="Z76" s="150">
        <v>75</v>
      </c>
      <c r="AA76" s="145" t="s">
        <v>1245</v>
      </c>
      <c r="AB76" s="145">
        <v>48.9</v>
      </c>
      <c r="AC76" s="145" t="s">
        <v>208</v>
      </c>
      <c r="AD76" s="145">
        <v>93</v>
      </c>
      <c r="AE76" s="145">
        <v>83.79</v>
      </c>
      <c r="AF76" s="59">
        <f t="shared" si="14"/>
        <v>8</v>
      </c>
      <c r="AG76" s="30">
        <f>15/15*100</f>
        <v>100</v>
      </c>
      <c r="AH76" s="4" t="str">
        <f t="shared" si="15"/>
        <v>III</v>
      </c>
      <c r="AI76" s="24"/>
      <c r="AJ76" s="47"/>
      <c r="AK76" s="31">
        <f t="shared" si="12"/>
        <v>-9.3000000000000007</v>
      </c>
      <c r="AL76" s="31">
        <f t="shared" si="9"/>
        <v>3.0000000000001137E-2</v>
      </c>
      <c r="AM76" s="31" t="e">
        <f>P76-#REF!</f>
        <v>#REF!</v>
      </c>
    </row>
    <row r="77" spans="1:39" ht="30" x14ac:dyDescent="0.25">
      <c r="A77" s="27">
        <v>71</v>
      </c>
      <c r="B77" s="2" t="s">
        <v>133</v>
      </c>
      <c r="C77" s="4">
        <v>91.3</v>
      </c>
      <c r="D77" s="4">
        <v>14.52</v>
      </c>
      <c r="E77" s="17">
        <v>95.73</v>
      </c>
      <c r="F77" s="4">
        <v>68.739999999999995</v>
      </c>
      <c r="G77" s="4">
        <v>100</v>
      </c>
      <c r="H77" s="4">
        <v>53.4</v>
      </c>
      <c r="I77" s="4" t="s">
        <v>208</v>
      </c>
      <c r="J77" s="4">
        <v>75</v>
      </c>
      <c r="K77" s="28" t="s">
        <v>371</v>
      </c>
      <c r="L77" s="4">
        <v>45.2</v>
      </c>
      <c r="M77" s="4" t="s">
        <v>223</v>
      </c>
      <c r="N77" s="4">
        <v>100</v>
      </c>
      <c r="O77" s="4">
        <v>92.5</v>
      </c>
      <c r="P77" s="29">
        <f t="shared" si="11"/>
        <v>6</v>
      </c>
      <c r="Q77" s="30">
        <f>10/27*100</f>
        <v>37.037037037037038</v>
      </c>
      <c r="R77" s="4" t="str">
        <f t="shared" si="13"/>
        <v>III</v>
      </c>
      <c r="S77" s="145">
        <v>91.3</v>
      </c>
      <c r="T77" s="149">
        <v>14.611590628853268</v>
      </c>
      <c r="U77" s="149">
        <v>95.732952225398122</v>
      </c>
      <c r="V77" s="145">
        <v>49.1</v>
      </c>
      <c r="W77" s="145">
        <v>100</v>
      </c>
      <c r="X77" s="145">
        <v>53.4</v>
      </c>
      <c r="Y77" s="145" t="s">
        <v>208</v>
      </c>
      <c r="Z77" s="150">
        <v>33.299999999999997</v>
      </c>
      <c r="AA77" s="145" t="s">
        <v>1267</v>
      </c>
      <c r="AB77" s="145">
        <v>45.2</v>
      </c>
      <c r="AC77" s="145" t="s">
        <v>223</v>
      </c>
      <c r="AD77" s="145">
        <v>100</v>
      </c>
      <c r="AE77" s="145">
        <v>93</v>
      </c>
      <c r="AF77" s="59">
        <f t="shared" si="14"/>
        <v>6</v>
      </c>
      <c r="AG77" s="30">
        <f>10/27*100</f>
        <v>37.037037037037038</v>
      </c>
      <c r="AH77" s="4" t="str">
        <f t="shared" si="15"/>
        <v>III</v>
      </c>
      <c r="AI77" s="24"/>
      <c r="AJ77" s="47"/>
      <c r="AK77" s="31">
        <f t="shared" si="12"/>
        <v>19.639999999999993</v>
      </c>
      <c r="AL77" s="31">
        <f t="shared" si="9"/>
        <v>0</v>
      </c>
      <c r="AM77" s="31" t="e">
        <f>P77-#REF!</f>
        <v>#REF!</v>
      </c>
    </row>
    <row r="78" spans="1:39" ht="45" x14ac:dyDescent="0.25">
      <c r="A78" s="27">
        <v>72</v>
      </c>
      <c r="B78" s="2" t="s">
        <v>134</v>
      </c>
      <c r="C78" s="4">
        <v>39.93</v>
      </c>
      <c r="D78" s="4">
        <v>32.1</v>
      </c>
      <c r="E78" s="17">
        <v>98.7</v>
      </c>
      <c r="F78" s="4">
        <v>21</v>
      </c>
      <c r="G78" s="4">
        <v>45</v>
      </c>
      <c r="H78" s="4">
        <v>55</v>
      </c>
      <c r="I78" s="4" t="s">
        <v>263</v>
      </c>
      <c r="J78" s="4">
        <v>60</v>
      </c>
      <c r="K78" s="28" t="s">
        <v>432</v>
      </c>
      <c r="L78" s="4">
        <v>35</v>
      </c>
      <c r="M78" s="4" t="s">
        <v>209</v>
      </c>
      <c r="N78" s="4">
        <v>93</v>
      </c>
      <c r="O78" s="4">
        <v>42</v>
      </c>
      <c r="P78" s="29">
        <f t="shared" si="11"/>
        <v>8</v>
      </c>
      <c r="Q78" s="30">
        <f>16/16*100</f>
        <v>100</v>
      </c>
      <c r="R78" s="4" t="str">
        <f t="shared" si="13"/>
        <v>III</v>
      </c>
      <c r="S78" s="145">
        <v>39.5</v>
      </c>
      <c r="T78" s="149">
        <v>32.115038945476329</v>
      </c>
      <c r="U78" s="149">
        <v>98.92150988615937</v>
      </c>
      <c r="V78" s="145">
        <v>12.7</v>
      </c>
      <c r="W78" s="145">
        <v>100</v>
      </c>
      <c r="X78" s="145">
        <v>55</v>
      </c>
      <c r="Y78" s="145" t="s">
        <v>263</v>
      </c>
      <c r="Z78" s="150">
        <v>90</v>
      </c>
      <c r="AA78" s="145" t="s">
        <v>1268</v>
      </c>
      <c r="AB78" s="145">
        <v>35</v>
      </c>
      <c r="AC78" s="145" t="s">
        <v>208</v>
      </c>
      <c r="AD78" s="145">
        <v>93.7</v>
      </c>
      <c r="AE78" s="145">
        <v>89.98</v>
      </c>
      <c r="AF78" s="59">
        <f t="shared" si="14"/>
        <v>6</v>
      </c>
      <c r="AG78" s="30">
        <f>16/16*100</f>
        <v>100</v>
      </c>
      <c r="AH78" s="4" t="str">
        <f t="shared" si="15"/>
        <v>III</v>
      </c>
      <c r="AI78" s="24"/>
      <c r="AJ78" s="47"/>
      <c r="AK78" s="31">
        <f t="shared" si="12"/>
        <v>8.3000000000000007</v>
      </c>
      <c r="AL78" s="31">
        <f t="shared" si="9"/>
        <v>0</v>
      </c>
      <c r="AM78" s="31" t="e">
        <f>P78-#REF!</f>
        <v>#REF!</v>
      </c>
    </row>
    <row r="79" spans="1:39" s="58" customFormat="1" ht="45" x14ac:dyDescent="0.25">
      <c r="A79" s="51">
        <v>73</v>
      </c>
      <c r="B79" s="52" t="s">
        <v>121</v>
      </c>
      <c r="C79" s="53">
        <v>43.8</v>
      </c>
      <c r="D79" s="53">
        <v>28.62</v>
      </c>
      <c r="E79" s="50">
        <v>94.5</v>
      </c>
      <c r="F79" s="53">
        <v>0</v>
      </c>
      <c r="G79" s="53">
        <v>97.04</v>
      </c>
      <c r="H79" s="53">
        <v>52.78</v>
      </c>
      <c r="I79" s="53" t="s">
        <v>208</v>
      </c>
      <c r="J79" s="53">
        <v>100</v>
      </c>
      <c r="K79" s="54" t="s">
        <v>1178</v>
      </c>
      <c r="L79" s="53">
        <v>0</v>
      </c>
      <c r="M79" s="53" t="s">
        <v>209</v>
      </c>
      <c r="N79" s="53">
        <v>81.099999999999994</v>
      </c>
      <c r="O79" s="53">
        <v>44.25</v>
      </c>
      <c r="P79" s="55">
        <f>SUM((IF(C79&lt;32.4,1,0))+(IF(D79&gt;=8.12,1,0))+(IF(E79&lt;95,1,0))+(IF(F79&lt;30,1,0))+IF(OR(G79&lt;80,H79&gt;50),1,0)
+(IF(I79="Chưa đạt chuẩn",1,0))+(IF(J79&lt;50,1,0))+(IF(OR( IFERROR(--TRIM(MID(K79, FIND("Nội trú:", K79)+8, FIND(";",K79&amp;";", FIND("Nội trú:", K79))-FIND("Nội trú:", K79)-8))&gt;=20, FALSE), IFERROR(--TRIM(MID(K79, FIND("Bán trú:", K79)+8, FIND(";", K79&amp;";", FIND("Bán trú:", K79))-FIND("Bán trú:",K79)-8))&gt;=40, FALSE)), 1, 0))+(IF(L79&lt;50,1,0))+IF(OR(M79="chưa có",M79="có nhưng chưa đạt chuẩn"),1,0)+(IF(N79&lt;95,1,0))+(IF(O79&lt;50,1,0)))</f>
        <v>10</v>
      </c>
      <c r="Q79" s="56">
        <f>12/16*100</f>
        <v>75</v>
      </c>
      <c r="R79" s="53" t="str">
        <f t="shared" si="13"/>
        <v>III</v>
      </c>
      <c r="S79" s="147">
        <v>43.8</v>
      </c>
      <c r="T79" s="153">
        <v>28.622927180966116</v>
      </c>
      <c r="U79" s="153">
        <v>98.727015558698724</v>
      </c>
      <c r="V79" s="147">
        <v>12.6</v>
      </c>
      <c r="W79" s="147">
        <v>100</v>
      </c>
      <c r="X79" s="147">
        <v>44</v>
      </c>
      <c r="Y79" s="147" t="s">
        <v>263</v>
      </c>
      <c r="Z79" s="154">
        <v>87.5</v>
      </c>
      <c r="AA79" s="147" t="s">
        <v>1246</v>
      </c>
      <c r="AB79" s="147">
        <v>90</v>
      </c>
      <c r="AC79" s="147" t="s">
        <v>208</v>
      </c>
      <c r="AD79" s="147">
        <v>68.75</v>
      </c>
      <c r="AE79" s="147">
        <v>88.23</v>
      </c>
      <c r="AF79" s="59">
        <f t="shared" si="14"/>
        <v>4</v>
      </c>
      <c r="AG79" s="56">
        <f>12/16*100</f>
        <v>75</v>
      </c>
      <c r="AH79" s="4" t="str">
        <f t="shared" si="15"/>
        <v>III</v>
      </c>
      <c r="AI79" s="49"/>
      <c r="AJ79" s="57"/>
      <c r="AK79" s="58">
        <f t="shared" si="12"/>
        <v>-12.6</v>
      </c>
      <c r="AL79" s="58">
        <f t="shared" si="9"/>
        <v>-90</v>
      </c>
      <c r="AM79" s="31" t="e">
        <f>P79-#REF!</f>
        <v>#REF!</v>
      </c>
    </row>
    <row r="80" spans="1:39" ht="45" x14ac:dyDescent="0.25">
      <c r="A80" s="27">
        <v>74</v>
      </c>
      <c r="B80" s="2" t="s">
        <v>122</v>
      </c>
      <c r="C80" s="4">
        <v>42.62</v>
      </c>
      <c r="D80" s="4">
        <v>24.85</v>
      </c>
      <c r="E80" s="17">
        <v>86.8</v>
      </c>
      <c r="F80" s="4">
        <v>23.01</v>
      </c>
      <c r="G80" s="4">
        <v>100</v>
      </c>
      <c r="H80" s="4">
        <v>53.14</v>
      </c>
      <c r="I80" s="4" t="s">
        <v>263</v>
      </c>
      <c r="J80" s="4">
        <v>46.16</v>
      </c>
      <c r="K80" s="28" t="s">
        <v>345</v>
      </c>
      <c r="L80" s="4">
        <v>88.07</v>
      </c>
      <c r="M80" s="4" t="s">
        <v>209</v>
      </c>
      <c r="N80" s="4">
        <v>100</v>
      </c>
      <c r="O80" s="4">
        <v>48.78</v>
      </c>
      <c r="P80" s="29">
        <f t="shared" si="11"/>
        <v>8</v>
      </c>
      <c r="Q80" s="30">
        <f>7/14*100</f>
        <v>50</v>
      </c>
      <c r="R80" s="4" t="str">
        <f t="shared" si="13"/>
        <v>III</v>
      </c>
      <c r="S80" s="145">
        <v>39.200000000000003</v>
      </c>
      <c r="T80" s="149">
        <v>24.910820451843044</v>
      </c>
      <c r="U80" s="149">
        <v>89.229843561973524</v>
      </c>
      <c r="V80" s="145">
        <v>11.3</v>
      </c>
      <c r="W80" s="145">
        <v>100</v>
      </c>
      <c r="X80" s="145">
        <v>53.14</v>
      </c>
      <c r="Y80" s="145" t="s">
        <v>263</v>
      </c>
      <c r="Z80" s="150">
        <v>57.142857142857139</v>
      </c>
      <c r="AA80" s="145" t="s">
        <v>1247</v>
      </c>
      <c r="AB80" s="145">
        <v>88.1</v>
      </c>
      <c r="AC80" s="145" t="s">
        <v>208</v>
      </c>
      <c r="AD80" s="145">
        <v>86</v>
      </c>
      <c r="AE80" s="145">
        <v>79.53</v>
      </c>
      <c r="AF80" s="59">
        <f t="shared" si="14"/>
        <v>6</v>
      </c>
      <c r="AG80" s="30">
        <f>7/14*100</f>
        <v>50</v>
      </c>
      <c r="AH80" s="4" t="str">
        <f t="shared" si="15"/>
        <v>III</v>
      </c>
      <c r="AI80" s="24"/>
      <c r="AJ80" s="47"/>
      <c r="AK80" s="31">
        <f t="shared" si="12"/>
        <v>11.71</v>
      </c>
      <c r="AL80" s="31">
        <f t="shared" si="9"/>
        <v>-3.0000000000001137E-2</v>
      </c>
      <c r="AM80" s="31" t="e">
        <f>P80-#REF!</f>
        <v>#REF!</v>
      </c>
    </row>
    <row r="81" spans="1:39" ht="45" x14ac:dyDescent="0.25">
      <c r="A81" s="27">
        <v>75</v>
      </c>
      <c r="B81" s="2" t="s">
        <v>123</v>
      </c>
      <c r="C81" s="4">
        <v>46.5</v>
      </c>
      <c r="D81" s="4">
        <v>22.53</v>
      </c>
      <c r="E81" s="17">
        <v>90</v>
      </c>
      <c r="F81" s="4">
        <v>18.39</v>
      </c>
      <c r="G81" s="4">
        <v>48</v>
      </c>
      <c r="H81" s="4">
        <v>70</v>
      </c>
      <c r="I81" s="4" t="s">
        <v>263</v>
      </c>
      <c r="J81" s="4">
        <v>40</v>
      </c>
      <c r="K81" s="28" t="s">
        <v>405</v>
      </c>
      <c r="L81" s="4">
        <v>87</v>
      </c>
      <c r="M81" s="4" t="s">
        <v>209</v>
      </c>
      <c r="N81" s="4">
        <v>90</v>
      </c>
      <c r="O81" s="4">
        <v>84.21</v>
      </c>
      <c r="P81" s="29">
        <f t="shared" si="11"/>
        <v>8</v>
      </c>
      <c r="Q81" s="30">
        <f>21/23*100</f>
        <v>91.304347826086953</v>
      </c>
      <c r="R81" s="4" t="str">
        <f t="shared" si="13"/>
        <v>III</v>
      </c>
      <c r="S81" s="145">
        <v>43.8</v>
      </c>
      <c r="T81" s="149">
        <v>22.614173228346459</v>
      </c>
      <c r="U81" s="149">
        <v>93.649795661741592</v>
      </c>
      <c r="V81" s="145">
        <v>12.3</v>
      </c>
      <c r="W81" s="145">
        <v>100</v>
      </c>
      <c r="X81" s="145">
        <v>0</v>
      </c>
      <c r="Y81" s="145" t="s">
        <v>263</v>
      </c>
      <c r="Z81" s="150">
        <v>60</v>
      </c>
      <c r="AA81" s="145" t="s">
        <v>1248</v>
      </c>
      <c r="AB81" s="145">
        <v>87</v>
      </c>
      <c r="AC81" s="145" t="s">
        <v>208</v>
      </c>
      <c r="AD81" s="145">
        <v>95.6</v>
      </c>
      <c r="AE81" s="145">
        <v>83.94</v>
      </c>
      <c r="AF81" s="59">
        <f t="shared" si="14"/>
        <v>4</v>
      </c>
      <c r="AG81" s="30">
        <f>21/23*100</f>
        <v>91.304347826086953</v>
      </c>
      <c r="AH81" s="4" t="str">
        <f t="shared" si="15"/>
        <v>III</v>
      </c>
      <c r="AI81" s="24"/>
      <c r="AJ81" s="47"/>
      <c r="AK81" s="31">
        <f t="shared" si="12"/>
        <v>6.09</v>
      </c>
      <c r="AL81" s="31">
        <f t="shared" si="9"/>
        <v>0</v>
      </c>
      <c r="AM81" s="31" t="e">
        <f>P81-#REF!</f>
        <v>#REF!</v>
      </c>
    </row>
    <row r="82" spans="1:39" ht="45" x14ac:dyDescent="0.25">
      <c r="A82" s="27">
        <v>76</v>
      </c>
      <c r="B82" s="2" t="s">
        <v>124</v>
      </c>
      <c r="C82" s="4">
        <v>35.799999999999997</v>
      </c>
      <c r="D82" s="4">
        <v>39</v>
      </c>
      <c r="E82" s="17">
        <v>83.33</v>
      </c>
      <c r="F82" s="4">
        <v>0</v>
      </c>
      <c r="G82" s="4">
        <v>60</v>
      </c>
      <c r="H82" s="4">
        <v>40</v>
      </c>
      <c r="I82" s="4" t="s">
        <v>263</v>
      </c>
      <c r="J82" s="4">
        <v>14.3</v>
      </c>
      <c r="K82" s="28" t="s">
        <v>321</v>
      </c>
      <c r="L82" s="4">
        <v>7.5</v>
      </c>
      <c r="M82" s="4" t="s">
        <v>209</v>
      </c>
      <c r="N82" s="4">
        <v>93.8</v>
      </c>
      <c r="O82" s="4">
        <v>70.400000000000006</v>
      </c>
      <c r="P82" s="29">
        <f t="shared" si="11"/>
        <v>9</v>
      </c>
      <c r="Q82" s="30">
        <f>16/16*100</f>
        <v>100</v>
      </c>
      <c r="R82" s="4" t="str">
        <f t="shared" si="13"/>
        <v>III</v>
      </c>
      <c r="S82" s="145">
        <v>35.799999999999997</v>
      </c>
      <c r="T82" s="149">
        <v>35.044642857142854</v>
      </c>
      <c r="U82" s="149">
        <v>97.669172932330824</v>
      </c>
      <c r="V82" s="145">
        <v>8.1</v>
      </c>
      <c r="W82" s="145">
        <v>60</v>
      </c>
      <c r="X82" s="145">
        <v>40</v>
      </c>
      <c r="Y82" s="145" t="s">
        <v>263</v>
      </c>
      <c r="Z82" s="150">
        <v>71.428571428571416</v>
      </c>
      <c r="AA82" s="145" t="s">
        <v>1249</v>
      </c>
      <c r="AB82" s="145">
        <v>7.5</v>
      </c>
      <c r="AC82" s="145" t="s">
        <v>208</v>
      </c>
      <c r="AD82" s="145">
        <v>94</v>
      </c>
      <c r="AE82" s="145">
        <v>63.91</v>
      </c>
      <c r="AF82" s="59">
        <f t="shared" si="14"/>
        <v>6</v>
      </c>
      <c r="AG82" s="30">
        <f>16/16*100</f>
        <v>100</v>
      </c>
      <c r="AH82" s="4" t="str">
        <f t="shared" si="15"/>
        <v>III</v>
      </c>
      <c r="AI82" s="24"/>
      <c r="AJ82" s="47"/>
      <c r="AK82" s="31">
        <f t="shared" si="12"/>
        <v>-8.1</v>
      </c>
      <c r="AL82" s="31">
        <f t="shared" si="9"/>
        <v>0</v>
      </c>
      <c r="AM82" s="31" t="e">
        <f>P82-#REF!</f>
        <v>#REF!</v>
      </c>
    </row>
    <row r="83" spans="1:39" ht="45" x14ac:dyDescent="0.25">
      <c r="A83" s="27">
        <v>77</v>
      </c>
      <c r="B83" s="2" t="s">
        <v>125</v>
      </c>
      <c r="C83" s="4">
        <v>53.1</v>
      </c>
      <c r="D83" s="4">
        <v>12.3</v>
      </c>
      <c r="E83" s="17">
        <v>92.98</v>
      </c>
      <c r="F83" s="4">
        <v>28.8</v>
      </c>
      <c r="G83" s="4">
        <v>64.3</v>
      </c>
      <c r="H83" s="4">
        <v>40</v>
      </c>
      <c r="I83" s="4" t="s">
        <v>263</v>
      </c>
      <c r="J83" s="4">
        <v>56.25</v>
      </c>
      <c r="K83" s="28" t="s">
        <v>1177</v>
      </c>
      <c r="L83" s="4">
        <v>100</v>
      </c>
      <c r="M83" s="4" t="s">
        <v>209</v>
      </c>
      <c r="N83" s="4">
        <v>92.5</v>
      </c>
      <c r="O83" s="4">
        <v>96</v>
      </c>
      <c r="P83" s="29">
        <f t="shared" si="11"/>
        <v>7</v>
      </c>
      <c r="Q83" s="30">
        <f>20/40*100</f>
        <v>50</v>
      </c>
      <c r="R83" s="4" t="str">
        <f t="shared" si="13"/>
        <v>III</v>
      </c>
      <c r="S83" s="145">
        <v>53.1</v>
      </c>
      <c r="T83" s="149">
        <v>12.300985595147839</v>
      </c>
      <c r="U83" s="149">
        <v>92.89234268385141</v>
      </c>
      <c r="V83" s="145">
        <v>28.7</v>
      </c>
      <c r="W83" s="145">
        <v>100</v>
      </c>
      <c r="X83" s="145">
        <v>0</v>
      </c>
      <c r="Y83" s="145" t="s">
        <v>263</v>
      </c>
      <c r="Z83" s="150">
        <v>56.25</v>
      </c>
      <c r="AA83" s="145" t="s">
        <v>1250</v>
      </c>
      <c r="AB83" s="145">
        <v>100</v>
      </c>
      <c r="AC83" s="145" t="s">
        <v>263</v>
      </c>
      <c r="AD83" s="145">
        <v>93</v>
      </c>
      <c r="AE83" s="145">
        <v>94.92</v>
      </c>
      <c r="AF83" s="59">
        <f t="shared" si="14"/>
        <v>5</v>
      </c>
      <c r="AG83" s="30">
        <f>20/40*100</f>
        <v>50</v>
      </c>
      <c r="AH83" s="4" t="str">
        <f t="shared" si="15"/>
        <v>III</v>
      </c>
      <c r="AI83" s="24"/>
      <c r="AJ83" s="47"/>
      <c r="AK83" s="31">
        <f t="shared" si="12"/>
        <v>0.10000000000000142</v>
      </c>
      <c r="AL83" s="31">
        <f t="shared" si="9"/>
        <v>0</v>
      </c>
      <c r="AM83" s="31" t="e">
        <f>P83-#REF!</f>
        <v>#REF!</v>
      </c>
    </row>
    <row r="84" spans="1:39" ht="45" x14ac:dyDescent="0.25">
      <c r="A84" s="27">
        <v>78</v>
      </c>
      <c r="B84" s="2" t="s">
        <v>120</v>
      </c>
      <c r="C84" s="4">
        <v>31.7</v>
      </c>
      <c r="D84" s="4">
        <v>9.9700000000000006</v>
      </c>
      <c r="E84" s="17">
        <v>88.67</v>
      </c>
      <c r="F84" s="4">
        <v>9.9</v>
      </c>
      <c r="G84" s="4">
        <v>74.12</v>
      </c>
      <c r="H84" s="4">
        <v>63.68</v>
      </c>
      <c r="I84" s="4" t="s">
        <v>263</v>
      </c>
      <c r="J84" s="4">
        <v>38.461538461538503</v>
      </c>
      <c r="K84" s="28" t="s">
        <v>315</v>
      </c>
      <c r="L84" s="4">
        <v>40.299999999999997</v>
      </c>
      <c r="M84" s="4" t="s">
        <v>209</v>
      </c>
      <c r="N84" s="4">
        <v>89.5</v>
      </c>
      <c r="O84" s="4">
        <v>97</v>
      </c>
      <c r="P84" s="29">
        <f t="shared" si="11"/>
        <v>10</v>
      </c>
      <c r="Q84" s="30">
        <f>21/38*100</f>
        <v>55.26315789473685</v>
      </c>
      <c r="R84" s="4" t="str">
        <f t="shared" si="13"/>
        <v>III</v>
      </c>
      <c r="S84" s="145">
        <v>48.3</v>
      </c>
      <c r="T84" s="149">
        <v>9.9700000000000006</v>
      </c>
      <c r="U84" s="149">
        <v>89.49406298399586</v>
      </c>
      <c r="V84" s="145">
        <v>25.7</v>
      </c>
      <c r="W84" s="145">
        <v>100</v>
      </c>
      <c r="X84" s="145">
        <v>51.24</v>
      </c>
      <c r="Y84" s="145" t="s">
        <v>263</v>
      </c>
      <c r="Z84" s="150">
        <v>57.142857142857139</v>
      </c>
      <c r="AA84" s="145" t="s">
        <v>1251</v>
      </c>
      <c r="AB84" s="145">
        <v>40.299999999999997</v>
      </c>
      <c r="AC84" s="145" t="s">
        <v>208</v>
      </c>
      <c r="AD84" s="145">
        <v>92</v>
      </c>
      <c r="AE84" s="145">
        <v>95.35</v>
      </c>
      <c r="AF84" s="59">
        <f t="shared" si="14"/>
        <v>7</v>
      </c>
      <c r="AG84" s="30">
        <f>21/38*100</f>
        <v>55.26315789473685</v>
      </c>
      <c r="AH84" s="4" t="str">
        <f t="shared" si="15"/>
        <v>III</v>
      </c>
      <c r="AI84" s="24"/>
      <c r="AJ84" s="47"/>
      <c r="AK84" s="31">
        <f t="shared" si="12"/>
        <v>-15.799999999999999</v>
      </c>
      <c r="AL84" s="31">
        <f t="shared" si="9"/>
        <v>0</v>
      </c>
      <c r="AM84" s="31" t="e">
        <f>P84-#REF!</f>
        <v>#REF!</v>
      </c>
    </row>
    <row r="85" spans="1:39" ht="30" x14ac:dyDescent="0.25">
      <c r="A85" s="27">
        <v>79</v>
      </c>
      <c r="B85" s="2" t="s">
        <v>119</v>
      </c>
      <c r="C85" s="4">
        <v>51.3</v>
      </c>
      <c r="D85" s="4">
        <v>9.3000000000000007</v>
      </c>
      <c r="E85" s="17">
        <v>88.79</v>
      </c>
      <c r="F85" s="4">
        <v>29.57</v>
      </c>
      <c r="G85" s="4">
        <v>20.6</v>
      </c>
      <c r="H85" s="4">
        <v>79.400000000000006</v>
      </c>
      <c r="I85" s="4" t="s">
        <v>263</v>
      </c>
      <c r="J85" s="4">
        <v>10</v>
      </c>
      <c r="K85" s="28" t="s">
        <v>405</v>
      </c>
      <c r="L85" s="4">
        <v>85</v>
      </c>
      <c r="M85" s="4" t="s">
        <v>263</v>
      </c>
      <c r="N85" s="4">
        <v>92.86</v>
      </c>
      <c r="O85" s="4">
        <v>91.4</v>
      </c>
      <c r="P85" s="29">
        <f t="shared" si="11"/>
        <v>7</v>
      </c>
      <c r="Q85" s="30">
        <f>21/28*100</f>
        <v>75</v>
      </c>
      <c r="R85" s="4" t="str">
        <f t="shared" si="13"/>
        <v>III</v>
      </c>
      <c r="S85" s="145">
        <v>51.3</v>
      </c>
      <c r="T85" s="149">
        <v>9.23</v>
      </c>
      <c r="U85" s="149">
        <v>88.793388429752071</v>
      </c>
      <c r="V85" s="145">
        <v>26.6</v>
      </c>
      <c r="W85" s="145">
        <v>96.06</v>
      </c>
      <c r="X85" s="145">
        <v>79.400000000000006</v>
      </c>
      <c r="Y85" s="145" t="s">
        <v>263</v>
      </c>
      <c r="Z85" s="150">
        <v>88.461538461538453</v>
      </c>
      <c r="AA85" s="145" t="s">
        <v>1252</v>
      </c>
      <c r="AB85" s="145">
        <v>85</v>
      </c>
      <c r="AC85" s="145" t="s">
        <v>208</v>
      </c>
      <c r="AD85" s="145">
        <v>92.86</v>
      </c>
      <c r="AE85" s="145">
        <v>91.16</v>
      </c>
      <c r="AF85" s="59">
        <f t="shared" si="14"/>
        <v>5</v>
      </c>
      <c r="AG85" s="30">
        <f>21/28*100</f>
        <v>75</v>
      </c>
      <c r="AH85" s="4" t="str">
        <f t="shared" si="15"/>
        <v>III</v>
      </c>
      <c r="AI85" s="24"/>
      <c r="AJ85" s="47"/>
      <c r="AK85" s="31">
        <f t="shared" si="12"/>
        <v>2.9699999999999989</v>
      </c>
      <c r="AL85" s="31">
        <f t="shared" ref="AL85:AL113" si="16">L85-AB85</f>
        <v>0</v>
      </c>
      <c r="AM85" s="31" t="e">
        <f>P85-#REF!</f>
        <v>#REF!</v>
      </c>
    </row>
    <row r="86" spans="1:39" ht="45" x14ac:dyDescent="0.25">
      <c r="A86" s="27">
        <v>80</v>
      </c>
      <c r="B86" s="2" t="s">
        <v>118</v>
      </c>
      <c r="C86" s="4">
        <v>45.15</v>
      </c>
      <c r="D86" s="4">
        <v>14.42</v>
      </c>
      <c r="E86" s="17">
        <v>86.23</v>
      </c>
      <c r="F86" s="4">
        <v>0.08</v>
      </c>
      <c r="G86" s="4">
        <v>74.5</v>
      </c>
      <c r="H86" s="4">
        <v>25.5</v>
      </c>
      <c r="I86" s="4" t="s">
        <v>263</v>
      </c>
      <c r="J86" s="4">
        <v>100</v>
      </c>
      <c r="K86" s="28" t="s">
        <v>351</v>
      </c>
      <c r="L86" s="4">
        <v>31</v>
      </c>
      <c r="M86" s="4" t="s">
        <v>209</v>
      </c>
      <c r="N86" s="4">
        <v>90</v>
      </c>
      <c r="O86" s="4">
        <v>76</v>
      </c>
      <c r="P86" s="29">
        <f t="shared" si="11"/>
        <v>8</v>
      </c>
      <c r="Q86" s="30">
        <f>11/18*100</f>
        <v>61.111111111111114</v>
      </c>
      <c r="R86" s="4" t="str">
        <f t="shared" si="13"/>
        <v>III</v>
      </c>
      <c r="S86" s="145">
        <v>43.2</v>
      </c>
      <c r="T86" s="149">
        <v>14.045886961387801</v>
      </c>
      <c r="U86" s="149">
        <v>87.129266927811969</v>
      </c>
      <c r="V86" s="145">
        <v>24</v>
      </c>
      <c r="W86" s="145">
        <v>100</v>
      </c>
      <c r="X86" s="145">
        <v>0</v>
      </c>
      <c r="Y86" s="145" t="s">
        <v>263</v>
      </c>
      <c r="Z86" s="150">
        <v>87.5</v>
      </c>
      <c r="AA86" s="145" t="s">
        <v>1253</v>
      </c>
      <c r="AB86" s="145">
        <v>31</v>
      </c>
      <c r="AC86" s="145" t="s">
        <v>208</v>
      </c>
      <c r="AD86" s="145">
        <v>78</v>
      </c>
      <c r="AE86" s="145">
        <v>91.75</v>
      </c>
      <c r="AF86" s="59">
        <f t="shared" si="14"/>
        <v>6</v>
      </c>
      <c r="AG86" s="30">
        <f>11/18*100</f>
        <v>61.111111111111114</v>
      </c>
      <c r="AH86" s="4" t="str">
        <f t="shared" si="15"/>
        <v>III</v>
      </c>
      <c r="AI86" s="24"/>
      <c r="AJ86" s="47"/>
      <c r="AK86" s="31">
        <f t="shared" si="12"/>
        <v>-23.92</v>
      </c>
      <c r="AL86" s="31">
        <f t="shared" si="16"/>
        <v>0</v>
      </c>
      <c r="AM86" s="31" t="e">
        <f>P86-#REF!</f>
        <v>#REF!</v>
      </c>
    </row>
    <row r="87" spans="1:39" ht="45" x14ac:dyDescent="0.25">
      <c r="A87" s="27">
        <v>81</v>
      </c>
      <c r="B87" s="2" t="s">
        <v>117</v>
      </c>
      <c r="C87" s="4">
        <v>40.200000000000003</v>
      </c>
      <c r="D87" s="4">
        <v>12.84</v>
      </c>
      <c r="E87" s="17">
        <v>82.6</v>
      </c>
      <c r="F87" s="4">
        <v>10.5</v>
      </c>
      <c r="G87" s="4">
        <v>76.92</v>
      </c>
      <c r="H87" s="4">
        <v>55.01</v>
      </c>
      <c r="I87" s="4" t="s">
        <v>263</v>
      </c>
      <c r="J87" s="4">
        <v>0</v>
      </c>
      <c r="K87" s="28" t="s">
        <v>318</v>
      </c>
      <c r="L87" s="4">
        <v>91</v>
      </c>
      <c r="M87" s="4" t="s">
        <v>209</v>
      </c>
      <c r="N87" s="4">
        <v>90.5</v>
      </c>
      <c r="O87" s="4">
        <v>80.8</v>
      </c>
      <c r="P87" s="29">
        <f t="shared" si="11"/>
        <v>8</v>
      </c>
      <c r="Q87" s="30">
        <f>18/21*100</f>
        <v>85.714285714285708</v>
      </c>
      <c r="R87" s="4" t="str">
        <f t="shared" si="13"/>
        <v>III</v>
      </c>
      <c r="S87" s="145">
        <v>40.200000000000003</v>
      </c>
      <c r="T87" s="149">
        <v>12.83598464070214</v>
      </c>
      <c r="U87" s="149">
        <v>82.611080636313773</v>
      </c>
      <c r="V87" s="145">
        <v>10.5</v>
      </c>
      <c r="W87" s="145">
        <v>76.92</v>
      </c>
      <c r="X87" s="145">
        <v>55.01</v>
      </c>
      <c r="Y87" s="145" t="s">
        <v>263</v>
      </c>
      <c r="Z87" s="150">
        <v>71</v>
      </c>
      <c r="AA87" s="145" t="s">
        <v>1254</v>
      </c>
      <c r="AB87" s="145">
        <v>91</v>
      </c>
      <c r="AC87" s="145" t="s">
        <v>208</v>
      </c>
      <c r="AD87" s="145">
        <v>90</v>
      </c>
      <c r="AE87" s="145">
        <v>81.47</v>
      </c>
      <c r="AF87" s="59">
        <f t="shared" si="14"/>
        <v>6</v>
      </c>
      <c r="AG87" s="30">
        <f>18/21*100</f>
        <v>85.714285714285708</v>
      </c>
      <c r="AH87" s="4" t="str">
        <f t="shared" si="15"/>
        <v>III</v>
      </c>
      <c r="AI87" s="24"/>
      <c r="AJ87" s="47"/>
      <c r="AK87" s="31">
        <f t="shared" si="12"/>
        <v>0</v>
      </c>
      <c r="AL87" s="31">
        <f t="shared" si="16"/>
        <v>0</v>
      </c>
      <c r="AM87" s="31" t="e">
        <f>P87-#REF!</f>
        <v>#REF!</v>
      </c>
    </row>
    <row r="88" spans="1:39" ht="45" x14ac:dyDescent="0.25">
      <c r="A88" s="27">
        <v>82</v>
      </c>
      <c r="B88" s="2" t="s">
        <v>116</v>
      </c>
      <c r="C88" s="4">
        <v>40.54</v>
      </c>
      <c r="D88" s="4">
        <v>16.025641025641026</v>
      </c>
      <c r="E88" s="17">
        <v>89.94</v>
      </c>
      <c r="F88" s="4">
        <v>0</v>
      </c>
      <c r="G88" s="4">
        <v>50.8</v>
      </c>
      <c r="H88" s="4">
        <v>60.4</v>
      </c>
      <c r="I88" s="4" t="s">
        <v>263</v>
      </c>
      <c r="J88" s="4">
        <v>0</v>
      </c>
      <c r="K88" s="28" t="s">
        <v>322</v>
      </c>
      <c r="L88" s="4">
        <v>77.2</v>
      </c>
      <c r="M88" s="4" t="s">
        <v>209</v>
      </c>
      <c r="N88" s="4">
        <v>80</v>
      </c>
      <c r="O88" s="4">
        <v>82</v>
      </c>
      <c r="P88" s="29">
        <f t="shared" si="11"/>
        <v>8</v>
      </c>
      <c r="Q88" s="30">
        <f>10/15*100</f>
        <v>66.666666666666657</v>
      </c>
      <c r="R88" s="4" t="str">
        <f t="shared" si="13"/>
        <v>III</v>
      </c>
      <c r="S88" s="145">
        <v>39.700000000000003</v>
      </c>
      <c r="T88" s="149">
        <v>16.025641025641026</v>
      </c>
      <c r="U88" s="149">
        <v>89.393939393939391</v>
      </c>
      <c r="V88" s="145">
        <v>17.7</v>
      </c>
      <c r="W88" s="145">
        <v>76.2</v>
      </c>
      <c r="X88" s="145">
        <v>0</v>
      </c>
      <c r="Y88" s="145" t="s">
        <v>263</v>
      </c>
      <c r="Z88" s="150">
        <v>50</v>
      </c>
      <c r="AA88" s="145" t="s">
        <v>322</v>
      </c>
      <c r="AB88" s="145">
        <v>77.2</v>
      </c>
      <c r="AC88" s="145" t="s">
        <v>208</v>
      </c>
      <c r="AD88" s="145">
        <v>87</v>
      </c>
      <c r="AE88" s="145">
        <v>92.35</v>
      </c>
      <c r="AF88" s="59">
        <f t="shared" si="14"/>
        <v>5</v>
      </c>
      <c r="AG88" s="30">
        <f>10/15*100</f>
        <v>66.666666666666657</v>
      </c>
      <c r="AH88" s="4" t="str">
        <f t="shared" si="15"/>
        <v>III</v>
      </c>
      <c r="AI88" s="24"/>
      <c r="AJ88" s="47"/>
      <c r="AK88" s="31">
        <f t="shared" si="12"/>
        <v>-17.7</v>
      </c>
      <c r="AL88" s="31">
        <f t="shared" si="16"/>
        <v>0</v>
      </c>
      <c r="AM88" s="31" t="e">
        <f>P88-#REF!</f>
        <v>#REF!</v>
      </c>
    </row>
    <row r="89" spans="1:39" ht="45" x14ac:dyDescent="0.25">
      <c r="A89" s="27">
        <v>83</v>
      </c>
      <c r="B89" s="2" t="s">
        <v>115</v>
      </c>
      <c r="C89" s="4">
        <v>37.450000000000003</v>
      </c>
      <c r="D89" s="4">
        <v>36.721991701244797</v>
      </c>
      <c r="E89" s="17">
        <v>89</v>
      </c>
      <c r="F89" s="4">
        <v>25</v>
      </c>
      <c r="G89" s="4">
        <v>36.909999999999997</v>
      </c>
      <c r="H89" s="4">
        <v>12.5</v>
      </c>
      <c r="I89" s="4" t="s">
        <v>263</v>
      </c>
      <c r="J89" s="4">
        <v>20</v>
      </c>
      <c r="K89" s="28" t="s">
        <v>463</v>
      </c>
      <c r="L89" s="4">
        <v>95</v>
      </c>
      <c r="M89" s="4" t="s">
        <v>209</v>
      </c>
      <c r="N89" s="4">
        <v>92</v>
      </c>
      <c r="O89" s="4">
        <v>78.3</v>
      </c>
      <c r="P89" s="29">
        <f t="shared" si="11"/>
        <v>7</v>
      </c>
      <c r="Q89" s="30">
        <f>12/12*100</f>
        <v>100</v>
      </c>
      <c r="R89" s="4" t="str">
        <f t="shared" si="13"/>
        <v>III</v>
      </c>
      <c r="S89" s="145">
        <v>37.200000000000003</v>
      </c>
      <c r="T89" s="149">
        <v>36.721991701244818</v>
      </c>
      <c r="U89" s="149">
        <v>88.612836438923395</v>
      </c>
      <c r="V89" s="145">
        <v>7</v>
      </c>
      <c r="W89" s="145">
        <v>100</v>
      </c>
      <c r="X89" s="145">
        <v>0</v>
      </c>
      <c r="Y89" s="145" t="s">
        <v>263</v>
      </c>
      <c r="Z89" s="150">
        <v>20</v>
      </c>
      <c r="AA89" s="145" t="s">
        <v>931</v>
      </c>
      <c r="AB89" s="145">
        <v>95</v>
      </c>
      <c r="AC89" s="145" t="s">
        <v>208</v>
      </c>
      <c r="AD89" s="145">
        <v>83</v>
      </c>
      <c r="AE89" s="145">
        <v>61.87</v>
      </c>
      <c r="AF89" s="59">
        <f t="shared" si="14"/>
        <v>6</v>
      </c>
      <c r="AG89" s="30">
        <f>12/12*100</f>
        <v>100</v>
      </c>
      <c r="AH89" s="4" t="str">
        <f t="shared" si="15"/>
        <v>III</v>
      </c>
      <c r="AI89" s="24"/>
      <c r="AJ89" s="47"/>
      <c r="AK89" s="31">
        <f t="shared" si="12"/>
        <v>18</v>
      </c>
      <c r="AL89" s="31">
        <f t="shared" si="16"/>
        <v>0</v>
      </c>
      <c r="AM89" s="31" t="e">
        <f>P89-#REF!</f>
        <v>#REF!</v>
      </c>
    </row>
    <row r="90" spans="1:39" ht="30" x14ac:dyDescent="0.25">
      <c r="A90" s="27">
        <v>84</v>
      </c>
      <c r="B90" s="2" t="s">
        <v>114</v>
      </c>
      <c r="C90" s="4">
        <v>37.22</v>
      </c>
      <c r="D90" s="4">
        <v>28.29</v>
      </c>
      <c r="E90" s="17">
        <v>87.9</v>
      </c>
      <c r="F90" s="4">
        <v>5.4</v>
      </c>
      <c r="G90" s="4">
        <v>7.6</v>
      </c>
      <c r="H90" s="4">
        <v>0</v>
      </c>
      <c r="I90" s="4" t="s">
        <v>263</v>
      </c>
      <c r="J90" s="4">
        <v>100</v>
      </c>
      <c r="K90" s="28" t="s">
        <v>426</v>
      </c>
      <c r="L90" s="4">
        <v>88.08</v>
      </c>
      <c r="M90" s="4" t="s">
        <v>263</v>
      </c>
      <c r="N90" s="4">
        <v>100</v>
      </c>
      <c r="O90" s="4">
        <v>94.19</v>
      </c>
      <c r="P90" s="29">
        <f t="shared" si="11"/>
        <v>4</v>
      </c>
      <c r="Q90" s="30">
        <f>3/3*100</f>
        <v>100</v>
      </c>
      <c r="R90" s="4" t="str">
        <f t="shared" si="13"/>
        <v>III</v>
      </c>
      <c r="S90" s="145">
        <v>37.22</v>
      </c>
      <c r="T90" s="149">
        <v>28.29457364341085</v>
      </c>
      <c r="U90" s="149">
        <v>79.457364341085267</v>
      </c>
      <c r="V90" s="145">
        <v>8.1</v>
      </c>
      <c r="W90" s="145">
        <v>100</v>
      </c>
      <c r="X90" s="145">
        <v>0</v>
      </c>
      <c r="Y90" s="145" t="s">
        <v>263</v>
      </c>
      <c r="Z90" s="150">
        <v>100</v>
      </c>
      <c r="AA90" s="145" t="s">
        <v>1255</v>
      </c>
      <c r="AB90" s="145">
        <v>88.1</v>
      </c>
      <c r="AC90" s="145" t="s">
        <v>208</v>
      </c>
      <c r="AD90" s="145">
        <v>100</v>
      </c>
      <c r="AE90" s="145">
        <v>89.11</v>
      </c>
      <c r="AF90" s="59">
        <f t="shared" si="14"/>
        <v>4</v>
      </c>
      <c r="AG90" s="30">
        <f>3/3*100</f>
        <v>100</v>
      </c>
      <c r="AH90" s="4" t="str">
        <f t="shared" si="15"/>
        <v>III</v>
      </c>
      <c r="AI90" s="24"/>
      <c r="AJ90" s="47"/>
      <c r="AK90" s="31">
        <f t="shared" si="12"/>
        <v>-2.6999999999999993</v>
      </c>
      <c r="AL90" s="31">
        <f t="shared" si="16"/>
        <v>-1.9999999999996021E-2</v>
      </c>
      <c r="AM90" s="31" t="e">
        <f>P90-#REF!</f>
        <v>#REF!</v>
      </c>
    </row>
    <row r="91" spans="1:39" ht="45" x14ac:dyDescent="0.25">
      <c r="A91" s="27">
        <v>85</v>
      </c>
      <c r="B91" s="2" t="s">
        <v>113</v>
      </c>
      <c r="C91" s="4">
        <v>47.8</v>
      </c>
      <c r="D91" s="4">
        <v>5.07</v>
      </c>
      <c r="E91" s="17">
        <v>95.64</v>
      </c>
      <c r="F91" s="4">
        <v>64.2</v>
      </c>
      <c r="G91" s="4" t="s">
        <v>1172</v>
      </c>
      <c r="H91" s="4">
        <v>56.6</v>
      </c>
      <c r="I91" s="4" t="s">
        <v>263</v>
      </c>
      <c r="J91" s="4">
        <v>21.4</v>
      </c>
      <c r="K91" s="28" t="s">
        <v>765</v>
      </c>
      <c r="L91" s="4">
        <v>95.52</v>
      </c>
      <c r="M91" s="4" t="s">
        <v>209</v>
      </c>
      <c r="N91" s="4">
        <v>90.5</v>
      </c>
      <c r="O91" s="4">
        <v>92.6</v>
      </c>
      <c r="P91" s="29">
        <f t="shared" si="11"/>
        <v>5</v>
      </c>
      <c r="Q91" s="30">
        <f>15/42*100</f>
        <v>35.714285714285715</v>
      </c>
      <c r="R91" s="4" t="str">
        <f t="shared" si="13"/>
        <v>II</v>
      </c>
      <c r="S91" s="145">
        <v>47.8</v>
      </c>
      <c r="T91" s="149">
        <v>5.0724637681159415</v>
      </c>
      <c r="U91" s="149">
        <v>97.852702957242414</v>
      </c>
      <c r="V91" s="145">
        <v>48.7</v>
      </c>
      <c r="W91" s="145">
        <v>100</v>
      </c>
      <c r="X91" s="145">
        <v>79.8</v>
      </c>
      <c r="Y91" s="145" t="s">
        <v>263</v>
      </c>
      <c r="Z91" s="150">
        <v>75</v>
      </c>
      <c r="AA91" s="145" t="s">
        <v>1256</v>
      </c>
      <c r="AB91" s="145">
        <v>95.5</v>
      </c>
      <c r="AC91" s="145" t="s">
        <v>208</v>
      </c>
      <c r="AD91" s="145">
        <v>90.5</v>
      </c>
      <c r="AE91" s="145">
        <v>95.23</v>
      </c>
      <c r="AF91" s="59">
        <f t="shared" si="14"/>
        <v>3</v>
      </c>
      <c r="AG91" s="30">
        <f>15/42*100</f>
        <v>35.714285714285715</v>
      </c>
      <c r="AH91" s="4" t="str">
        <f t="shared" si="15"/>
        <v>II</v>
      </c>
      <c r="AI91" s="24"/>
      <c r="AJ91" s="47"/>
      <c r="AK91" s="31">
        <f t="shared" si="12"/>
        <v>15.5</v>
      </c>
      <c r="AL91" s="31">
        <f t="shared" si="16"/>
        <v>1.9999999999996021E-2</v>
      </c>
      <c r="AM91" s="31" t="e">
        <f>P91-#REF!</f>
        <v>#REF!</v>
      </c>
    </row>
    <row r="92" spans="1:39" ht="30" x14ac:dyDescent="0.25">
      <c r="A92" s="27">
        <v>86</v>
      </c>
      <c r="B92" s="2" t="s">
        <v>112</v>
      </c>
      <c r="C92" s="4">
        <v>49.5</v>
      </c>
      <c r="D92" s="4">
        <v>11.8</v>
      </c>
      <c r="E92" s="17">
        <v>91.79</v>
      </c>
      <c r="F92" s="4">
        <v>11.2</v>
      </c>
      <c r="G92" s="4">
        <v>52.98</v>
      </c>
      <c r="H92" s="4">
        <v>47.02</v>
      </c>
      <c r="I92" s="4" t="s">
        <v>263</v>
      </c>
      <c r="J92" s="4">
        <v>88.8</v>
      </c>
      <c r="K92" s="28" t="s">
        <v>962</v>
      </c>
      <c r="L92" s="4">
        <v>87.98</v>
      </c>
      <c r="M92" s="4" t="s">
        <v>223</v>
      </c>
      <c r="N92" s="4">
        <v>90.3</v>
      </c>
      <c r="O92" s="4">
        <v>82.12</v>
      </c>
      <c r="P92" s="29">
        <f t="shared" si="11"/>
        <v>7</v>
      </c>
      <c r="Q92" s="30">
        <f>13/31*100</f>
        <v>41.935483870967744</v>
      </c>
      <c r="R92" s="4" t="str">
        <f t="shared" si="13"/>
        <v>III</v>
      </c>
      <c r="S92" s="145">
        <v>49.5</v>
      </c>
      <c r="T92" s="149">
        <v>10.885122410546138</v>
      </c>
      <c r="U92" s="149">
        <v>91.789077212806021</v>
      </c>
      <c r="V92" s="145">
        <v>29</v>
      </c>
      <c r="W92" s="145">
        <v>100</v>
      </c>
      <c r="X92" s="145">
        <v>62.09</v>
      </c>
      <c r="Y92" s="145" t="s">
        <v>263</v>
      </c>
      <c r="Z92" s="150">
        <v>80</v>
      </c>
      <c r="AA92" s="145" t="s">
        <v>1257</v>
      </c>
      <c r="AB92" s="145">
        <v>88</v>
      </c>
      <c r="AC92" s="145" t="s">
        <v>208</v>
      </c>
      <c r="AD92" s="145">
        <v>90</v>
      </c>
      <c r="AE92" s="145">
        <v>82.47</v>
      </c>
      <c r="AF92" s="59">
        <f t="shared" si="14"/>
        <v>6</v>
      </c>
      <c r="AG92" s="30">
        <f>13/31*100</f>
        <v>41.935483870967744</v>
      </c>
      <c r="AH92" s="4" t="str">
        <f t="shared" si="15"/>
        <v>III</v>
      </c>
      <c r="AI92" s="24"/>
      <c r="AJ92" s="47"/>
      <c r="AK92" s="31">
        <f t="shared" si="12"/>
        <v>-17.8</v>
      </c>
      <c r="AL92" s="31">
        <f t="shared" si="16"/>
        <v>-1.9999999999996021E-2</v>
      </c>
      <c r="AM92" s="31" t="e">
        <f>P92-#REF!</f>
        <v>#REF!</v>
      </c>
    </row>
    <row r="93" spans="1:39" ht="45" x14ac:dyDescent="0.25">
      <c r="A93" s="27">
        <v>87</v>
      </c>
      <c r="B93" s="2" t="s">
        <v>111</v>
      </c>
      <c r="C93" s="4">
        <v>45.7</v>
      </c>
      <c r="D93" s="4">
        <v>12.529955494693597</v>
      </c>
      <c r="E93" s="17">
        <v>86.8</v>
      </c>
      <c r="F93" s="4">
        <v>14.07</v>
      </c>
      <c r="G93" s="4">
        <v>67.400000000000006</v>
      </c>
      <c r="H93" s="4">
        <v>59.3</v>
      </c>
      <c r="I93" s="4" t="s">
        <v>208</v>
      </c>
      <c r="J93" s="4">
        <v>23.07</v>
      </c>
      <c r="K93" s="28" t="s">
        <v>1173</v>
      </c>
      <c r="L93" s="4">
        <v>93.11</v>
      </c>
      <c r="M93" s="4" t="s">
        <v>209</v>
      </c>
      <c r="N93" s="4">
        <v>90</v>
      </c>
      <c r="O93" s="4">
        <v>80.349999999999994</v>
      </c>
      <c r="P93" s="29">
        <f t="shared" si="11"/>
        <v>9</v>
      </c>
      <c r="Q93" s="30">
        <f>7/30*100</f>
        <v>23.333333333333332</v>
      </c>
      <c r="R93" s="4" t="str">
        <f t="shared" si="13"/>
        <v>III</v>
      </c>
      <c r="S93" s="145">
        <v>45.7</v>
      </c>
      <c r="T93" s="149">
        <v>12.529955494693597</v>
      </c>
      <c r="U93" s="149">
        <v>86.888052036973633</v>
      </c>
      <c r="V93" s="145">
        <v>14</v>
      </c>
      <c r="W93" s="145">
        <v>67.8</v>
      </c>
      <c r="X93" s="145">
        <v>59.3</v>
      </c>
      <c r="Y93" s="145" t="s">
        <v>388</v>
      </c>
      <c r="Z93" s="150">
        <v>69.230769230769226</v>
      </c>
      <c r="AA93" s="145" t="s">
        <v>1258</v>
      </c>
      <c r="AB93" s="145">
        <v>93.1</v>
      </c>
      <c r="AC93" s="145" t="s">
        <v>208</v>
      </c>
      <c r="AD93" s="145">
        <v>90</v>
      </c>
      <c r="AE93" s="145">
        <v>83.65</v>
      </c>
      <c r="AF93" s="59">
        <f t="shared" si="14"/>
        <v>6</v>
      </c>
      <c r="AG93" s="30">
        <f>7/30*100</f>
        <v>23.333333333333332</v>
      </c>
      <c r="AH93" s="4" t="str">
        <f t="shared" si="15"/>
        <v>III</v>
      </c>
      <c r="AI93" s="24"/>
      <c r="AJ93" s="47"/>
      <c r="AK93" s="31">
        <f t="shared" si="12"/>
        <v>7.0000000000000284E-2</v>
      </c>
      <c r="AL93" s="31">
        <f t="shared" si="16"/>
        <v>1.0000000000005116E-2</v>
      </c>
      <c r="AM93" s="31" t="e">
        <f>P93-#REF!</f>
        <v>#REF!</v>
      </c>
    </row>
    <row r="94" spans="1:39" ht="45" x14ac:dyDescent="0.25">
      <c r="A94" s="27">
        <v>88</v>
      </c>
      <c r="B94" s="2" t="s">
        <v>110</v>
      </c>
      <c r="C94" s="4">
        <v>43.8</v>
      </c>
      <c r="D94" s="4">
        <v>22.27</v>
      </c>
      <c r="E94" s="17">
        <v>78.099999999999994</v>
      </c>
      <c r="F94" s="4">
        <v>10.199999999999999</v>
      </c>
      <c r="G94" s="4">
        <v>36.19</v>
      </c>
      <c r="H94" s="4">
        <v>63.81</v>
      </c>
      <c r="I94" s="4" t="s">
        <v>263</v>
      </c>
      <c r="J94" s="4">
        <v>62.5</v>
      </c>
      <c r="K94" s="28" t="s">
        <v>466</v>
      </c>
      <c r="L94" s="4">
        <v>45</v>
      </c>
      <c r="M94" s="4" t="s">
        <v>209</v>
      </c>
      <c r="N94" s="4">
        <v>90</v>
      </c>
      <c r="O94" s="4">
        <v>45.7</v>
      </c>
      <c r="P94" s="29">
        <f t="shared" si="11"/>
        <v>9</v>
      </c>
      <c r="Q94" s="30">
        <f>27/30*100</f>
        <v>90</v>
      </c>
      <c r="R94" s="4" t="str">
        <f t="shared" si="13"/>
        <v>III</v>
      </c>
      <c r="S94" s="145">
        <v>43.8</v>
      </c>
      <c r="T94" s="149">
        <v>22.32</v>
      </c>
      <c r="U94" s="149">
        <v>78.079178885630498</v>
      </c>
      <c r="V94" s="145">
        <v>23.3</v>
      </c>
      <c r="W94" s="145">
        <v>100</v>
      </c>
      <c r="X94" s="145">
        <v>63.81</v>
      </c>
      <c r="Y94" s="145" t="s">
        <v>263</v>
      </c>
      <c r="Z94" s="150">
        <v>75</v>
      </c>
      <c r="AA94" s="145" t="s">
        <v>1136</v>
      </c>
      <c r="AB94" s="145">
        <v>45</v>
      </c>
      <c r="AC94" s="145" t="s">
        <v>208</v>
      </c>
      <c r="AD94" s="145">
        <v>83</v>
      </c>
      <c r="AE94" s="145">
        <v>79.14</v>
      </c>
      <c r="AF94" s="59">
        <f t="shared" si="14"/>
        <v>7</v>
      </c>
      <c r="AG94" s="30">
        <f>27/30*100</f>
        <v>90</v>
      </c>
      <c r="AH94" s="4" t="str">
        <f t="shared" si="15"/>
        <v>III</v>
      </c>
      <c r="AI94" s="24"/>
      <c r="AJ94" s="47"/>
      <c r="AK94" s="31">
        <f t="shared" si="12"/>
        <v>-13.100000000000001</v>
      </c>
      <c r="AL94" s="31">
        <f t="shared" si="16"/>
        <v>0</v>
      </c>
      <c r="AM94" s="31" t="e">
        <f>P94-#REF!</f>
        <v>#REF!</v>
      </c>
    </row>
    <row r="95" spans="1:39" ht="45" x14ac:dyDescent="0.25">
      <c r="A95" s="27">
        <v>89</v>
      </c>
      <c r="B95" s="2" t="s">
        <v>109</v>
      </c>
      <c r="C95" s="4">
        <v>45.3</v>
      </c>
      <c r="D95" s="4">
        <v>16.57</v>
      </c>
      <c r="E95" s="17">
        <v>94.48</v>
      </c>
      <c r="F95" s="4">
        <v>21.54</v>
      </c>
      <c r="G95" s="4">
        <v>72.400000000000006</v>
      </c>
      <c r="H95" s="4">
        <v>25.75</v>
      </c>
      <c r="I95" s="4" t="s">
        <v>263</v>
      </c>
      <c r="J95" s="4">
        <v>62.5</v>
      </c>
      <c r="K95" s="28" t="s">
        <v>427</v>
      </c>
      <c r="L95" s="4">
        <v>80</v>
      </c>
      <c r="M95" s="4" t="s">
        <v>209</v>
      </c>
      <c r="N95" s="4">
        <v>84.21</v>
      </c>
      <c r="O95" s="4">
        <v>84</v>
      </c>
      <c r="P95" s="29">
        <f t="shared" si="11"/>
        <v>7</v>
      </c>
      <c r="Q95" s="30">
        <f>10/19*100</f>
        <v>52.631578947368418</v>
      </c>
      <c r="R95" s="4" t="str">
        <f t="shared" si="13"/>
        <v>III</v>
      </c>
      <c r="S95" s="145">
        <v>45.3</v>
      </c>
      <c r="T95" s="149">
        <v>16.574862293440162</v>
      </c>
      <c r="U95" s="149">
        <v>94.475138121546962</v>
      </c>
      <c r="V95" s="145">
        <v>24.3</v>
      </c>
      <c r="W95" s="145">
        <v>100</v>
      </c>
      <c r="X95" s="145">
        <v>53.31</v>
      </c>
      <c r="Y95" s="145" t="s">
        <v>263</v>
      </c>
      <c r="Z95" s="150">
        <v>62.5</v>
      </c>
      <c r="AA95" s="145" t="s">
        <v>265</v>
      </c>
      <c r="AB95" s="145">
        <v>80</v>
      </c>
      <c r="AC95" s="145" t="s">
        <v>208</v>
      </c>
      <c r="AD95" s="145">
        <v>84.21</v>
      </c>
      <c r="AE95" s="145">
        <v>84.72</v>
      </c>
      <c r="AF95" s="59">
        <f t="shared" si="14"/>
        <v>5</v>
      </c>
      <c r="AG95" s="30">
        <f>10/19*100</f>
        <v>52.631578947368418</v>
      </c>
      <c r="AH95" s="4" t="str">
        <f t="shared" si="15"/>
        <v>III</v>
      </c>
      <c r="AI95" s="24"/>
      <c r="AJ95" s="47"/>
      <c r="AK95" s="31">
        <f t="shared" si="12"/>
        <v>-2.7600000000000016</v>
      </c>
      <c r="AL95" s="31">
        <f t="shared" si="16"/>
        <v>0</v>
      </c>
      <c r="AM95" s="31" t="e">
        <f>P95-#REF!</f>
        <v>#REF!</v>
      </c>
    </row>
    <row r="96" spans="1:39" s="58" customFormat="1" ht="45" x14ac:dyDescent="0.25">
      <c r="A96" s="51">
        <v>90</v>
      </c>
      <c r="B96" s="52" t="s">
        <v>108</v>
      </c>
      <c r="C96" s="53">
        <v>51</v>
      </c>
      <c r="D96" s="53">
        <v>10.15</v>
      </c>
      <c r="E96" s="50">
        <v>92.78</v>
      </c>
      <c r="F96" s="53">
        <v>24.12</v>
      </c>
      <c r="G96" s="53">
        <v>41.92</v>
      </c>
      <c r="H96" s="53">
        <v>52.31</v>
      </c>
      <c r="I96" s="53" t="s">
        <v>263</v>
      </c>
      <c r="J96" s="53">
        <v>78</v>
      </c>
      <c r="K96" s="54" t="s">
        <v>931</v>
      </c>
      <c r="L96" s="53">
        <v>44</v>
      </c>
      <c r="M96" s="53" t="s">
        <v>209</v>
      </c>
      <c r="N96" s="53">
        <v>100</v>
      </c>
      <c r="O96" s="53">
        <v>89.5</v>
      </c>
      <c r="P96" s="55">
        <f t="shared" ref="P96:P105" si="17">SUM((IF(C96&lt;32.4,1,0))+(IF(D96&gt;=8.12,1,0))+(IF(E96&lt;95,1,0))+(IF(F96&lt;30,1,0))+IF(OR(G96&lt;80,H96&gt;50),1,0)
+(IF(I96="Chưa đạt chuẩn",1,0))+(IF(J96&lt;50,1,0))+(IF(OR( IFERROR(--TRIM(MID(K96, FIND("Nội trú:", K96)+8, FIND(";",K96&amp;";", FIND("Nội trú:", K96))-FIND("Nội trú:", K96)-8))&gt;=20, FALSE), IFERROR(--TRIM(MID(K96, FIND("Bán trú:", K96)+8, FIND(";", K96&amp;";", FIND("Bán trú:", K96))-FIND("Bán trú:",K96)-8))&gt;=40, FALSE)), 1, 0))+(IF(L96&lt;50,1,0))+IF(OR(M96="chưa có",M96="có nhưng chưa đạt chuẩn"),1,0)+(IF(N96&lt;95,1,0))+(IF(O96&lt;50,1,0)))</f>
        <v>7</v>
      </c>
      <c r="Q96" s="56">
        <f>16/72*100</f>
        <v>22.222222222222221</v>
      </c>
      <c r="R96" s="53" t="str">
        <f t="shared" si="13"/>
        <v>III</v>
      </c>
      <c r="S96" s="147">
        <v>51</v>
      </c>
      <c r="T96" s="153">
        <v>10.146041506533436</v>
      </c>
      <c r="U96" s="153">
        <v>92.742241925269155</v>
      </c>
      <c r="V96" s="147">
        <v>40.1</v>
      </c>
      <c r="W96" s="147">
        <v>51.9</v>
      </c>
      <c r="X96" s="147">
        <v>48.1</v>
      </c>
      <c r="Y96" s="147" t="s">
        <v>263</v>
      </c>
      <c r="Z96" s="154">
        <v>70.08</v>
      </c>
      <c r="AA96" s="147" t="s">
        <v>931</v>
      </c>
      <c r="AB96" s="147">
        <v>44</v>
      </c>
      <c r="AC96" s="147" t="s">
        <v>208</v>
      </c>
      <c r="AD96" s="147">
        <v>100</v>
      </c>
      <c r="AE96" s="147">
        <v>90.41</v>
      </c>
      <c r="AF96" s="59">
        <f t="shared" si="14"/>
        <v>5</v>
      </c>
      <c r="AG96" s="56">
        <f>16/72*100</f>
        <v>22.222222222222221</v>
      </c>
      <c r="AH96" s="4" t="str">
        <f t="shared" si="15"/>
        <v>II</v>
      </c>
      <c r="AI96" s="49"/>
      <c r="AJ96" s="57"/>
      <c r="AK96" s="58">
        <f t="shared" si="12"/>
        <v>-15.98</v>
      </c>
      <c r="AL96" s="31">
        <f t="shared" si="16"/>
        <v>0</v>
      </c>
      <c r="AM96" s="31" t="e">
        <f>P96-#REF!</f>
        <v>#REF!</v>
      </c>
    </row>
    <row r="97" spans="1:39" ht="30" x14ac:dyDescent="0.25">
      <c r="A97" s="27">
        <v>91</v>
      </c>
      <c r="B97" s="2" t="s">
        <v>107</v>
      </c>
      <c r="C97" s="4">
        <v>71.599999999999994</v>
      </c>
      <c r="D97" s="4">
        <v>6</v>
      </c>
      <c r="E97" s="17">
        <v>100</v>
      </c>
      <c r="F97" s="4">
        <v>100</v>
      </c>
      <c r="G97" s="4">
        <v>98.27</v>
      </c>
      <c r="H97" s="4">
        <v>6.45</v>
      </c>
      <c r="I97" s="4" t="s">
        <v>263</v>
      </c>
      <c r="J97" s="4">
        <v>38</v>
      </c>
      <c r="K97" s="28" t="s">
        <v>934</v>
      </c>
      <c r="L97" s="4">
        <v>98.03</v>
      </c>
      <c r="M97" s="4" t="s">
        <v>263</v>
      </c>
      <c r="N97" s="4">
        <v>100</v>
      </c>
      <c r="O97" s="4">
        <v>93</v>
      </c>
      <c r="P97" s="29">
        <f t="shared" si="17"/>
        <v>2</v>
      </c>
      <c r="Q97" s="30">
        <f>6/49*100</f>
        <v>12.244897959183673</v>
      </c>
      <c r="R97" s="4" t="str">
        <f t="shared" si="13"/>
        <v>I</v>
      </c>
      <c r="S97" s="145">
        <v>71.599999999999994</v>
      </c>
      <c r="T97" s="149">
        <v>5.9945179358836853</v>
      </c>
      <c r="U97" s="149">
        <v>96</v>
      </c>
      <c r="V97" s="145">
        <v>53.8</v>
      </c>
      <c r="W97" s="145">
        <v>98.27</v>
      </c>
      <c r="X97" s="145">
        <v>6.45</v>
      </c>
      <c r="Y97" s="145" t="s">
        <v>263</v>
      </c>
      <c r="Z97" s="150">
        <v>82.608695652173907</v>
      </c>
      <c r="AA97" s="145" t="s">
        <v>1259</v>
      </c>
      <c r="AB97" s="145">
        <v>98</v>
      </c>
      <c r="AC97" s="145" t="s">
        <v>208</v>
      </c>
      <c r="AD97" s="145">
        <v>100</v>
      </c>
      <c r="AE97" s="145">
        <v>93.9</v>
      </c>
      <c r="AF97" s="59">
        <f t="shared" si="14"/>
        <v>0</v>
      </c>
      <c r="AG97" s="30">
        <f>6/49*100</f>
        <v>12.244897959183673</v>
      </c>
      <c r="AH97" s="4" t="str">
        <f t="shared" si="15"/>
        <v>I</v>
      </c>
      <c r="AI97" s="24"/>
      <c r="AJ97" s="47"/>
      <c r="AK97" s="31">
        <f t="shared" si="12"/>
        <v>46.2</v>
      </c>
      <c r="AL97" s="31">
        <f t="shared" si="16"/>
        <v>3.0000000000001137E-2</v>
      </c>
      <c r="AM97" s="31" t="e">
        <f>P97-#REF!</f>
        <v>#REF!</v>
      </c>
    </row>
    <row r="98" spans="1:39" ht="30" x14ac:dyDescent="0.25">
      <c r="A98" s="27">
        <v>92</v>
      </c>
      <c r="B98" s="2" t="s">
        <v>106</v>
      </c>
      <c r="C98" s="4">
        <v>68</v>
      </c>
      <c r="D98" s="4">
        <v>11.64</v>
      </c>
      <c r="E98" s="17">
        <v>92.51</v>
      </c>
      <c r="F98" s="4">
        <v>6.2</v>
      </c>
      <c r="G98" s="4">
        <v>100</v>
      </c>
      <c r="H98" s="4">
        <v>52.4</v>
      </c>
      <c r="I98" s="4" t="s">
        <v>263</v>
      </c>
      <c r="J98" s="4">
        <v>50</v>
      </c>
      <c r="K98" s="28" t="s">
        <v>510</v>
      </c>
      <c r="L98" s="4">
        <v>97</v>
      </c>
      <c r="M98" s="4" t="s">
        <v>223</v>
      </c>
      <c r="N98" s="4">
        <v>85.7</v>
      </c>
      <c r="O98" s="4">
        <v>95.1</v>
      </c>
      <c r="P98" s="29">
        <f t="shared" si="17"/>
        <v>7</v>
      </c>
      <c r="Q98" s="30">
        <f>9/21*100</f>
        <v>42.857142857142854</v>
      </c>
      <c r="R98" s="4" t="str">
        <f t="shared" si="13"/>
        <v>III</v>
      </c>
      <c r="S98" s="145">
        <v>66.05</v>
      </c>
      <c r="T98" s="155">
        <v>11.662787690716318</v>
      </c>
      <c r="U98" s="155">
        <v>93.672520661157023</v>
      </c>
      <c r="V98" s="156">
        <v>27.3</v>
      </c>
      <c r="W98" s="145">
        <v>100</v>
      </c>
      <c r="X98" s="156">
        <v>52.35</v>
      </c>
      <c r="Y98" s="145" t="s">
        <v>263</v>
      </c>
      <c r="Z98" s="150">
        <v>88.888888888888886</v>
      </c>
      <c r="AA98" s="156" t="s">
        <v>1260</v>
      </c>
      <c r="AB98" s="145">
        <v>97</v>
      </c>
      <c r="AC98" s="156" t="s">
        <v>208</v>
      </c>
      <c r="AD98" s="145">
        <v>95.2</v>
      </c>
      <c r="AE98" s="145">
        <v>95.07</v>
      </c>
      <c r="AF98" s="59">
        <f t="shared" si="14"/>
        <v>5</v>
      </c>
      <c r="AG98" s="30">
        <f>9/21*100</f>
        <v>42.857142857142854</v>
      </c>
      <c r="AH98" s="4" t="str">
        <f t="shared" si="15"/>
        <v>II</v>
      </c>
      <c r="AI98" s="24"/>
      <c r="AJ98" s="47"/>
      <c r="AK98" s="31">
        <f t="shared" si="12"/>
        <v>-21.1</v>
      </c>
      <c r="AL98" s="31">
        <f t="shared" si="16"/>
        <v>0</v>
      </c>
      <c r="AM98" s="31" t="e">
        <f>P98-#REF!</f>
        <v>#REF!</v>
      </c>
    </row>
    <row r="99" spans="1:39" s="58" customFormat="1" ht="45" x14ac:dyDescent="0.25">
      <c r="A99" s="51">
        <v>93</v>
      </c>
      <c r="B99" s="52" t="s">
        <v>105</v>
      </c>
      <c r="C99" s="53">
        <v>74.686666666666653</v>
      </c>
      <c r="D99" s="53">
        <v>5.37</v>
      </c>
      <c r="E99" s="50">
        <v>97.387096774193552</v>
      </c>
      <c r="F99" s="53">
        <v>14.3</v>
      </c>
      <c r="G99" s="53">
        <v>83.44736842105263</v>
      </c>
      <c r="H99" s="53">
        <v>15</v>
      </c>
      <c r="I99" s="53" t="s">
        <v>263</v>
      </c>
      <c r="J99" s="53">
        <v>47</v>
      </c>
      <c r="K99" s="54" t="s">
        <v>265</v>
      </c>
      <c r="L99" s="53">
        <v>88.8</v>
      </c>
      <c r="M99" s="53" t="s">
        <v>209</v>
      </c>
      <c r="N99" s="53">
        <v>100</v>
      </c>
      <c r="O99" s="53">
        <v>96.6</v>
      </c>
      <c r="P99" s="55">
        <f>SUM((IF(C99&lt;32.4,1,0))+(IF(D99&gt;=8.12,1,0))+(IF(E99&lt;95,1,0))+(IF(F99&lt;30,1,0))+IF(OR(G99&lt;80,H99&gt;50),1,0)+(IF(I99="Chưa đạt chuẩn",1,0))+(IF(J99&lt;50,1,0))+(IF(L99&lt;50,1,0))+IF(OR(M99="chưa có",M99="có nhưng chưa đạt chuẩn"),1,0)+(IF(N99&lt;95,1,0))+(IF(O99&lt;50,1,0)))</f>
        <v>3</v>
      </c>
      <c r="Q99" s="56">
        <f>4/45*100</f>
        <v>8.8888888888888893</v>
      </c>
      <c r="R99" s="53" t="str">
        <f t="shared" si="13"/>
        <v>II</v>
      </c>
      <c r="S99" s="147">
        <v>69.2</v>
      </c>
      <c r="T99" s="153">
        <v>5.3737568174526782</v>
      </c>
      <c r="U99" s="153">
        <v>98.774080560420316</v>
      </c>
      <c r="V99" s="147">
        <v>39.1</v>
      </c>
      <c r="W99" s="147">
        <v>83.45</v>
      </c>
      <c r="X99" s="147">
        <v>15</v>
      </c>
      <c r="Y99" s="147" t="s">
        <v>263</v>
      </c>
      <c r="Z99" s="154">
        <v>86.666666666666671</v>
      </c>
      <c r="AA99" s="147" t="s">
        <v>265</v>
      </c>
      <c r="AB99" s="147">
        <v>88.8</v>
      </c>
      <c r="AC99" s="147" t="s">
        <v>208</v>
      </c>
      <c r="AD99" s="147">
        <v>100</v>
      </c>
      <c r="AE99" s="147">
        <v>95.44</v>
      </c>
      <c r="AF99" s="59">
        <f t="shared" si="14"/>
        <v>0</v>
      </c>
      <c r="AG99" s="56">
        <f>4/45*100</f>
        <v>8.8888888888888893</v>
      </c>
      <c r="AH99" s="4" t="str">
        <f t="shared" si="15"/>
        <v>I</v>
      </c>
      <c r="AI99" s="49"/>
      <c r="AJ99" s="57"/>
      <c r="AK99" s="58">
        <f t="shared" si="12"/>
        <v>-24.8</v>
      </c>
      <c r="AL99" s="31">
        <f t="shared" si="16"/>
        <v>0</v>
      </c>
      <c r="AM99" s="31" t="e">
        <f>P99-#REF!</f>
        <v>#REF!</v>
      </c>
    </row>
    <row r="100" spans="1:39" ht="45" x14ac:dyDescent="0.25">
      <c r="A100" s="27">
        <v>94</v>
      </c>
      <c r="B100" s="2" t="s">
        <v>104</v>
      </c>
      <c r="C100" s="4">
        <v>80.900000000000006</v>
      </c>
      <c r="D100" s="4">
        <v>6.38</v>
      </c>
      <c r="E100" s="17">
        <v>93</v>
      </c>
      <c r="F100" s="4">
        <v>70</v>
      </c>
      <c r="G100" s="4">
        <v>95</v>
      </c>
      <c r="H100" s="4">
        <v>10.5</v>
      </c>
      <c r="I100" s="4" t="s">
        <v>263</v>
      </c>
      <c r="J100" s="4">
        <v>100</v>
      </c>
      <c r="K100" s="28" t="s">
        <v>265</v>
      </c>
      <c r="L100" s="4">
        <v>70</v>
      </c>
      <c r="M100" s="4" t="s">
        <v>209</v>
      </c>
      <c r="N100" s="4">
        <v>93.2</v>
      </c>
      <c r="O100" s="4">
        <v>90</v>
      </c>
      <c r="P100" s="29">
        <f>SUM((IF(C100&lt;32.4,1,0))+(IF(D100&gt;=8.12,1,0))+(IF(E100&lt;95,1,0))+(IF(F100&lt;30,1,0))+IF(OR(G100&lt;80,H100&gt;50),1,0)+(IF(I100="Chưa đạt chuẩn",1,0))+(IF(J100&lt;50,1,0))+(IF(L100&lt;50,1,0))+IF(OR(M100="chưa có",M100="có nhưng chưa đạt chuẩn"),1,0)+(IF(N100&lt;95,1,0))+(IF(O100&lt;50,1,0)))</f>
        <v>3</v>
      </c>
      <c r="Q100" s="30">
        <f>6/38*100</f>
        <v>15.789473684210526</v>
      </c>
      <c r="R100" s="4" t="str">
        <f t="shared" si="13"/>
        <v>II</v>
      </c>
      <c r="S100" s="145">
        <v>84.8</v>
      </c>
      <c r="T100" s="149">
        <v>5.6758924989971922</v>
      </c>
      <c r="U100" s="149">
        <v>98.523543495610539</v>
      </c>
      <c r="V100" s="145">
        <v>48.6</v>
      </c>
      <c r="W100" s="145">
        <v>95</v>
      </c>
      <c r="X100" s="145">
        <v>10.5</v>
      </c>
      <c r="Y100" s="145" t="s">
        <v>263</v>
      </c>
      <c r="Z100" s="150">
        <v>100</v>
      </c>
      <c r="AA100" s="145" t="s">
        <v>265</v>
      </c>
      <c r="AB100" s="145">
        <v>70</v>
      </c>
      <c r="AC100" s="145" t="s">
        <v>208</v>
      </c>
      <c r="AD100" s="145">
        <v>100</v>
      </c>
      <c r="AE100" s="145">
        <v>89.43</v>
      </c>
      <c r="AF100" s="59">
        <f t="shared" si="14"/>
        <v>0</v>
      </c>
      <c r="AG100" s="30">
        <f>6/38*100</f>
        <v>15.789473684210526</v>
      </c>
      <c r="AH100" s="4" t="str">
        <f t="shared" si="15"/>
        <v>I</v>
      </c>
      <c r="AI100" s="24"/>
      <c r="AJ100" s="47"/>
      <c r="AK100" s="31">
        <f t="shared" si="12"/>
        <v>21.4</v>
      </c>
      <c r="AL100" s="31">
        <f t="shared" si="16"/>
        <v>0</v>
      </c>
      <c r="AM100" s="31" t="e">
        <f>P100-#REF!</f>
        <v>#REF!</v>
      </c>
    </row>
    <row r="101" spans="1:39" ht="30" x14ac:dyDescent="0.25">
      <c r="A101" s="27">
        <v>95</v>
      </c>
      <c r="B101" s="2" t="s">
        <v>103</v>
      </c>
      <c r="C101" s="4">
        <v>69.2</v>
      </c>
      <c r="D101" s="4">
        <v>6.59</v>
      </c>
      <c r="E101" s="17">
        <v>95</v>
      </c>
      <c r="F101" s="4">
        <v>37.299999999999997</v>
      </c>
      <c r="G101" s="4">
        <v>73.52</v>
      </c>
      <c r="H101" s="4">
        <v>26.48</v>
      </c>
      <c r="I101" s="4" t="s">
        <v>263</v>
      </c>
      <c r="J101" s="4">
        <v>92.3</v>
      </c>
      <c r="K101" s="28" t="s">
        <v>616</v>
      </c>
      <c r="L101" s="4">
        <v>100</v>
      </c>
      <c r="M101" s="4" t="s">
        <v>223</v>
      </c>
      <c r="N101" s="4">
        <v>95.2</v>
      </c>
      <c r="O101" s="4">
        <v>97</v>
      </c>
      <c r="P101" s="29">
        <f t="shared" si="17"/>
        <v>2</v>
      </c>
      <c r="Q101" s="30">
        <f>8/42*100</f>
        <v>19.047619047619047</v>
      </c>
      <c r="R101" s="4" t="str">
        <f t="shared" si="13"/>
        <v>I</v>
      </c>
      <c r="S101" s="145">
        <v>69.2</v>
      </c>
      <c r="T101" s="149">
        <v>7.4721780604133547</v>
      </c>
      <c r="U101" s="149">
        <v>96.024512884977995</v>
      </c>
      <c r="V101" s="145">
        <v>34.299999999999997</v>
      </c>
      <c r="W101" s="145">
        <v>73.52</v>
      </c>
      <c r="X101" s="145">
        <v>26.48</v>
      </c>
      <c r="Y101" s="145" t="s">
        <v>263</v>
      </c>
      <c r="Z101" s="150">
        <v>92.307692307692307</v>
      </c>
      <c r="AA101" s="145" t="s">
        <v>1261</v>
      </c>
      <c r="AB101" s="145">
        <v>100</v>
      </c>
      <c r="AC101" s="145" t="s">
        <v>208</v>
      </c>
      <c r="AD101" s="145">
        <v>95.2</v>
      </c>
      <c r="AE101" s="145">
        <v>96.87</v>
      </c>
      <c r="AF101" s="59">
        <f t="shared" si="14"/>
        <v>2</v>
      </c>
      <c r="AG101" s="30">
        <f>8/42*100</f>
        <v>19.047619047619047</v>
      </c>
      <c r="AH101" s="4" t="str">
        <f t="shared" si="15"/>
        <v>I</v>
      </c>
      <c r="AI101" s="24"/>
      <c r="AJ101" s="47"/>
      <c r="AK101" s="31">
        <f t="shared" si="12"/>
        <v>3</v>
      </c>
      <c r="AL101" s="31">
        <f t="shared" si="16"/>
        <v>0</v>
      </c>
      <c r="AM101" s="31" t="e">
        <f>P101-#REF!</f>
        <v>#REF!</v>
      </c>
    </row>
    <row r="102" spans="1:39" ht="45" x14ac:dyDescent="0.25">
      <c r="A102" s="27">
        <v>96</v>
      </c>
      <c r="B102" s="2" t="s">
        <v>102</v>
      </c>
      <c r="C102" s="4">
        <v>90.2</v>
      </c>
      <c r="D102" s="4">
        <v>0.82</v>
      </c>
      <c r="E102" s="17">
        <v>94.8</v>
      </c>
      <c r="F102" s="4">
        <v>93.3</v>
      </c>
      <c r="G102" s="4">
        <v>100</v>
      </c>
      <c r="H102" s="4">
        <v>0</v>
      </c>
      <c r="I102" s="4" t="s">
        <v>263</v>
      </c>
      <c r="J102" s="4">
        <v>92</v>
      </c>
      <c r="K102" s="28" t="s">
        <v>265</v>
      </c>
      <c r="L102" s="4">
        <v>100</v>
      </c>
      <c r="M102" s="4" t="s">
        <v>223</v>
      </c>
      <c r="N102" s="4">
        <v>100</v>
      </c>
      <c r="O102" s="4">
        <v>98.7</v>
      </c>
      <c r="P102" s="29">
        <f>SUM((IF(C102&lt;32.4,1,0))+(IF(D102&gt;=8.12,1,0))+(IF(E102&lt;95,1,0))+(IF(F102&lt;30,1,0))+IF(OR(G102&lt;80,H102&gt;50),1,0)+(IF(I102="Chưa đạt chuẩn",1,0))+(IF(J102&lt;50,1,0))+(IF(L102&lt;50,1,0))+IF(OR(M102="chưa có",M102="có nhưng chưa đạt chuẩn"),1,0)+(IF(N102&lt;95,1,0))+(IF(O102&lt;50,1,0)))</f>
        <v>2</v>
      </c>
      <c r="Q102" s="30">
        <f>0/119*100</f>
        <v>0</v>
      </c>
      <c r="R102" s="4" t="str">
        <f t="shared" si="13"/>
        <v>I</v>
      </c>
      <c r="S102" s="145">
        <v>90.2</v>
      </c>
      <c r="T102" s="149">
        <v>0.6024474427361155</v>
      </c>
      <c r="U102" s="149">
        <v>94.538102643856917</v>
      </c>
      <c r="V102" s="145">
        <v>53.5</v>
      </c>
      <c r="W102" s="145">
        <v>100</v>
      </c>
      <c r="X102" s="145">
        <v>0</v>
      </c>
      <c r="Y102" s="145" t="s">
        <v>263</v>
      </c>
      <c r="Z102" s="150">
        <v>96.153846153846146</v>
      </c>
      <c r="AA102" s="145" t="s">
        <v>1231</v>
      </c>
      <c r="AB102" s="145">
        <v>100</v>
      </c>
      <c r="AC102" s="145" t="s">
        <v>263</v>
      </c>
      <c r="AD102" s="145">
        <v>100</v>
      </c>
      <c r="AE102" s="145">
        <v>98.6</v>
      </c>
      <c r="AF102" s="59">
        <f t="shared" si="14"/>
        <v>1</v>
      </c>
      <c r="AG102" s="30">
        <f>0/119*100</f>
        <v>0</v>
      </c>
      <c r="AH102" s="4" t="str">
        <f t="shared" si="15"/>
        <v>I</v>
      </c>
      <c r="AI102" s="24"/>
      <c r="AJ102" s="47"/>
      <c r="AK102" s="31">
        <f t="shared" si="12"/>
        <v>39.799999999999997</v>
      </c>
      <c r="AL102" s="31">
        <f t="shared" si="16"/>
        <v>0</v>
      </c>
      <c r="AM102" s="31" t="e">
        <f>P102-#REF!</f>
        <v>#REF!</v>
      </c>
    </row>
    <row r="103" spans="1:39" ht="45" x14ac:dyDescent="0.25">
      <c r="A103" s="27">
        <v>97</v>
      </c>
      <c r="B103" s="2" t="s">
        <v>101</v>
      </c>
      <c r="C103" s="4">
        <v>153</v>
      </c>
      <c r="D103" s="4">
        <v>0.76</v>
      </c>
      <c r="E103" s="17">
        <v>94.7</v>
      </c>
      <c r="F103" s="4">
        <v>99.53</v>
      </c>
      <c r="G103" s="4">
        <v>100</v>
      </c>
      <c r="H103" s="4">
        <v>0</v>
      </c>
      <c r="I103" s="4" t="s">
        <v>263</v>
      </c>
      <c r="J103" s="4">
        <v>69.5</v>
      </c>
      <c r="K103" s="28" t="s">
        <v>265</v>
      </c>
      <c r="L103" s="4">
        <v>89</v>
      </c>
      <c r="M103" s="4" t="s">
        <v>263</v>
      </c>
      <c r="N103" s="4">
        <v>100</v>
      </c>
      <c r="O103" s="4">
        <v>98.9</v>
      </c>
      <c r="P103" s="29">
        <f>SUM((IF(C103&lt;32.4,1,0))+(IF(D103&gt;=8.12,1,0))+(IF(E103&lt;95,1,0))+(IF(F103&lt;30,1,0))+IF(OR(G103&lt;80,H103&gt;50),1,0)+(IF(I103="Chưa đạt chuẩn",1,0))+(IF(J103&lt;50,1,0))+(IF(L103&lt;50,1,0))+IF(OR(M103="chưa có",M103="có nhưng chưa đạt chuẩn"),1,0)+(IF(N103&lt;95,1,0))+(IF(O103&lt;50,1,0)))</f>
        <v>1</v>
      </c>
      <c r="Q103" s="30">
        <f>0/129*100</f>
        <v>0</v>
      </c>
      <c r="R103" s="4" t="str">
        <f t="shared" si="13"/>
        <v>I</v>
      </c>
      <c r="S103" s="145">
        <v>112.6</v>
      </c>
      <c r="T103" s="149">
        <v>0.64149368937102325</v>
      </c>
      <c r="U103" s="149">
        <v>94.700674797251281</v>
      </c>
      <c r="V103" s="145">
        <v>81.8</v>
      </c>
      <c r="W103" s="145">
        <v>100</v>
      </c>
      <c r="X103" s="145">
        <v>0</v>
      </c>
      <c r="Y103" s="145" t="s">
        <v>263</v>
      </c>
      <c r="Z103" s="150">
        <v>68</v>
      </c>
      <c r="AA103" s="145" t="s">
        <v>265</v>
      </c>
      <c r="AB103" s="145">
        <v>89</v>
      </c>
      <c r="AC103" s="145" t="s">
        <v>263</v>
      </c>
      <c r="AD103" s="145">
        <v>100</v>
      </c>
      <c r="AE103" s="145">
        <v>98.67</v>
      </c>
      <c r="AF103" s="59">
        <f t="shared" si="14"/>
        <v>1</v>
      </c>
      <c r="AG103" s="30">
        <f>0/129*100</f>
        <v>0</v>
      </c>
      <c r="AH103" s="4" t="str">
        <f t="shared" si="15"/>
        <v>I</v>
      </c>
      <c r="AI103" s="24"/>
      <c r="AJ103" s="47"/>
      <c r="AK103" s="31">
        <f t="shared" ref="AK103:AK113" si="18">F103-V103</f>
        <v>17.730000000000004</v>
      </c>
      <c r="AL103" s="31">
        <f t="shared" si="16"/>
        <v>0</v>
      </c>
      <c r="AM103" s="31" t="e">
        <f>P103-#REF!</f>
        <v>#REF!</v>
      </c>
    </row>
    <row r="104" spans="1:39" s="58" customFormat="1" ht="45" x14ac:dyDescent="0.25">
      <c r="A104" s="51">
        <v>98</v>
      </c>
      <c r="B104" s="52" t="s">
        <v>100</v>
      </c>
      <c r="C104" s="53">
        <v>47.75</v>
      </c>
      <c r="D104" s="53">
        <v>20.6</v>
      </c>
      <c r="E104" s="50">
        <v>88.66</v>
      </c>
      <c r="F104" s="53">
        <v>63.5</v>
      </c>
      <c r="G104" s="53">
        <v>34.43</v>
      </c>
      <c r="H104" s="53">
        <v>42.6</v>
      </c>
      <c r="I104" s="53" t="s">
        <v>263</v>
      </c>
      <c r="J104" s="53">
        <v>100</v>
      </c>
      <c r="K104" s="54" t="s">
        <v>371</v>
      </c>
      <c r="L104" s="53">
        <v>48.3</v>
      </c>
      <c r="M104" s="53" t="s">
        <v>209</v>
      </c>
      <c r="N104" s="53">
        <v>85</v>
      </c>
      <c r="O104" s="53">
        <v>97.1</v>
      </c>
      <c r="P104" s="55">
        <f t="shared" si="17"/>
        <v>7</v>
      </c>
      <c r="Q104" s="56">
        <f>6/20*100</f>
        <v>30</v>
      </c>
      <c r="R104" s="53" t="str">
        <f t="shared" si="13"/>
        <v>III</v>
      </c>
      <c r="S104" s="147">
        <v>45.6</v>
      </c>
      <c r="T104" s="153">
        <v>10.938712179984485</v>
      </c>
      <c r="U104" s="153">
        <v>96.938775510204081</v>
      </c>
      <c r="V104" s="147">
        <v>26.2</v>
      </c>
      <c r="W104" s="147">
        <v>95.12</v>
      </c>
      <c r="X104" s="147">
        <v>72.8</v>
      </c>
      <c r="Y104" s="147" t="s">
        <v>263</v>
      </c>
      <c r="Z104" s="154">
        <v>50</v>
      </c>
      <c r="AA104" s="147" t="s">
        <v>1262</v>
      </c>
      <c r="AB104" s="147">
        <v>48.3</v>
      </c>
      <c r="AC104" s="147" t="s">
        <v>208</v>
      </c>
      <c r="AD104" s="147">
        <v>85</v>
      </c>
      <c r="AE104" s="147">
        <v>97.66</v>
      </c>
      <c r="AF104" s="59">
        <f t="shared" si="14"/>
        <v>6</v>
      </c>
      <c r="AG104" s="56">
        <f>6/20*100</f>
        <v>30</v>
      </c>
      <c r="AH104" s="4" t="str">
        <f t="shared" si="15"/>
        <v>III</v>
      </c>
      <c r="AI104" s="49"/>
      <c r="AJ104" s="57"/>
      <c r="AK104" s="58">
        <f t="shared" si="18"/>
        <v>37.299999999999997</v>
      </c>
      <c r="AL104" s="31">
        <f t="shared" si="16"/>
        <v>0</v>
      </c>
      <c r="AM104" s="31" t="e">
        <f>P104-#REF!</f>
        <v>#REF!</v>
      </c>
    </row>
    <row r="105" spans="1:39" ht="45" x14ac:dyDescent="0.25">
      <c r="A105" s="27">
        <v>99</v>
      </c>
      <c r="B105" s="2" t="s">
        <v>99</v>
      </c>
      <c r="C105" s="4">
        <v>55.9</v>
      </c>
      <c r="D105" s="4">
        <v>9.9</v>
      </c>
      <c r="E105" s="17">
        <v>89.9</v>
      </c>
      <c r="F105" s="4">
        <v>85</v>
      </c>
      <c r="G105" s="4">
        <v>69.7</v>
      </c>
      <c r="H105" s="4">
        <v>30.299999999999997</v>
      </c>
      <c r="I105" s="4" t="s">
        <v>263</v>
      </c>
      <c r="J105" s="4">
        <v>57.1</v>
      </c>
      <c r="K105" s="28" t="s">
        <v>494</v>
      </c>
      <c r="L105" s="4">
        <v>85</v>
      </c>
      <c r="M105" s="4" t="s">
        <v>209</v>
      </c>
      <c r="N105" s="4">
        <v>94</v>
      </c>
      <c r="O105" s="4">
        <v>90.1</v>
      </c>
      <c r="P105" s="29">
        <f t="shared" si="17"/>
        <v>6</v>
      </c>
      <c r="Q105" s="30">
        <f>8/30*100</f>
        <v>26.666666666666668</v>
      </c>
      <c r="R105" s="4" t="str">
        <f t="shared" si="13"/>
        <v>III</v>
      </c>
      <c r="S105" s="145">
        <v>55.9</v>
      </c>
      <c r="T105" s="149">
        <v>9.8679383712399105</v>
      </c>
      <c r="U105" s="149">
        <v>98.095238095238088</v>
      </c>
      <c r="V105" s="145">
        <v>30.5</v>
      </c>
      <c r="W105" s="145">
        <v>69.7</v>
      </c>
      <c r="X105" s="145">
        <v>30.299999999999997</v>
      </c>
      <c r="Y105" s="145" t="s">
        <v>263</v>
      </c>
      <c r="Z105" s="150">
        <v>57.142857142857139</v>
      </c>
      <c r="AA105" s="145" t="s">
        <v>265</v>
      </c>
      <c r="AB105" s="145">
        <v>85</v>
      </c>
      <c r="AC105" s="145" t="s">
        <v>208</v>
      </c>
      <c r="AD105" s="145">
        <v>100</v>
      </c>
      <c r="AE105" s="145">
        <v>93.87</v>
      </c>
      <c r="AF105" s="59">
        <f t="shared" si="14"/>
        <v>2</v>
      </c>
      <c r="AG105" s="30">
        <f>8/30*100</f>
        <v>26.666666666666668</v>
      </c>
      <c r="AH105" s="4" t="str">
        <f t="shared" si="15"/>
        <v>I</v>
      </c>
      <c r="AI105" s="24"/>
      <c r="AJ105" s="47"/>
      <c r="AK105" s="31">
        <f t="shared" si="18"/>
        <v>54.5</v>
      </c>
      <c r="AL105" s="31">
        <f t="shared" si="16"/>
        <v>0</v>
      </c>
      <c r="AM105" s="31" t="e">
        <f>P105-#REF!</f>
        <v>#REF!</v>
      </c>
    </row>
    <row r="106" spans="1:39" x14ac:dyDescent="0.25">
      <c r="A106" s="216" t="s">
        <v>1183</v>
      </c>
      <c r="B106" s="216"/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25"/>
      <c r="AG106" s="25"/>
      <c r="AH106" s="25"/>
      <c r="AI106" s="25"/>
      <c r="AK106" s="31">
        <f t="shared" si="18"/>
        <v>0</v>
      </c>
      <c r="AL106" s="31">
        <f t="shared" si="16"/>
        <v>0</v>
      </c>
      <c r="AM106" s="31" t="e">
        <f>P106-#REF!</f>
        <v>#REF!</v>
      </c>
    </row>
    <row r="107" spans="1:39" x14ac:dyDescent="0.25">
      <c r="A107" s="27">
        <v>1</v>
      </c>
      <c r="B107" s="213" t="s">
        <v>19</v>
      </c>
      <c r="C107" s="213"/>
      <c r="D107" s="213"/>
      <c r="E107" s="213"/>
      <c r="F107" s="213"/>
      <c r="G107" s="213"/>
      <c r="H107" s="213"/>
      <c r="I107" s="213"/>
      <c r="J107" s="213"/>
      <c r="K107" s="33"/>
      <c r="L107" s="27">
        <v>7</v>
      </c>
      <c r="M107" s="213" t="s">
        <v>30</v>
      </c>
      <c r="N107" s="213"/>
      <c r="O107" s="213"/>
      <c r="P107" s="213"/>
      <c r="Q107" s="213"/>
      <c r="R107" s="213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25"/>
      <c r="AG107" s="25"/>
      <c r="AH107" s="25"/>
      <c r="AI107" s="25"/>
      <c r="AK107" s="31">
        <f t="shared" si="18"/>
        <v>0</v>
      </c>
      <c r="AL107" s="31">
        <f t="shared" si="16"/>
        <v>7</v>
      </c>
      <c r="AM107" s="31" t="e">
        <f>P107-#REF!</f>
        <v>#REF!</v>
      </c>
    </row>
    <row r="108" spans="1:39" x14ac:dyDescent="0.25">
      <c r="A108" s="27">
        <v>2</v>
      </c>
      <c r="B108" s="213" t="s">
        <v>7</v>
      </c>
      <c r="C108" s="213"/>
      <c r="D108" s="213"/>
      <c r="E108" s="213"/>
      <c r="F108" s="213"/>
      <c r="G108" s="213"/>
      <c r="H108" s="213"/>
      <c r="I108" s="213"/>
      <c r="J108" s="213"/>
      <c r="K108" s="33"/>
      <c r="L108" s="27">
        <v>8</v>
      </c>
      <c r="M108" s="213" t="s">
        <v>8</v>
      </c>
      <c r="N108" s="213"/>
      <c r="O108" s="213"/>
      <c r="P108" s="213"/>
      <c r="Q108" s="213"/>
      <c r="R108" s="213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25"/>
      <c r="AG108" s="25"/>
      <c r="AH108" s="25"/>
      <c r="AI108" s="25"/>
      <c r="AK108" s="31">
        <f t="shared" si="18"/>
        <v>0</v>
      </c>
      <c r="AL108" s="31">
        <f t="shared" si="16"/>
        <v>8</v>
      </c>
      <c r="AM108" s="31" t="e">
        <f>P108-#REF!</f>
        <v>#REF!</v>
      </c>
    </row>
    <row r="109" spans="1:39" x14ac:dyDescent="0.25">
      <c r="A109" s="27">
        <v>3</v>
      </c>
      <c r="B109" s="213" t="s">
        <v>15</v>
      </c>
      <c r="C109" s="213"/>
      <c r="D109" s="213"/>
      <c r="E109" s="213"/>
      <c r="F109" s="213"/>
      <c r="G109" s="213"/>
      <c r="H109" s="213"/>
      <c r="I109" s="213"/>
      <c r="J109" s="213"/>
      <c r="K109" s="33"/>
      <c r="L109" s="27">
        <v>9</v>
      </c>
      <c r="M109" s="213" t="s">
        <v>9</v>
      </c>
      <c r="N109" s="213"/>
      <c r="O109" s="213"/>
      <c r="P109" s="213"/>
      <c r="Q109" s="213"/>
      <c r="R109" s="213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25"/>
      <c r="AG109" s="25"/>
      <c r="AH109" s="25"/>
      <c r="AI109" s="25"/>
      <c r="AK109" s="31">
        <f t="shared" si="18"/>
        <v>0</v>
      </c>
      <c r="AL109" s="31">
        <f t="shared" si="16"/>
        <v>9</v>
      </c>
      <c r="AM109" s="31" t="e">
        <f>P109-#REF!</f>
        <v>#REF!</v>
      </c>
    </row>
    <row r="110" spans="1:39" x14ac:dyDescent="0.25">
      <c r="A110" s="27">
        <v>4</v>
      </c>
      <c r="B110" s="213" t="s">
        <v>20</v>
      </c>
      <c r="C110" s="213"/>
      <c r="D110" s="213"/>
      <c r="E110" s="213"/>
      <c r="F110" s="213"/>
      <c r="G110" s="213"/>
      <c r="H110" s="213"/>
      <c r="I110" s="213"/>
      <c r="J110" s="213"/>
      <c r="K110" s="33"/>
      <c r="L110" s="27">
        <v>10</v>
      </c>
      <c r="M110" s="213" t="s">
        <v>31</v>
      </c>
      <c r="N110" s="213"/>
      <c r="O110" s="213"/>
      <c r="P110" s="213"/>
      <c r="Q110" s="213"/>
      <c r="R110" s="213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25"/>
      <c r="AG110" s="25"/>
      <c r="AH110" s="25"/>
      <c r="AI110" s="25"/>
      <c r="AK110" s="31">
        <f t="shared" si="18"/>
        <v>0</v>
      </c>
      <c r="AL110" s="31">
        <f t="shared" si="16"/>
        <v>10</v>
      </c>
      <c r="AM110" s="31" t="e">
        <f>P110-#REF!</f>
        <v>#REF!</v>
      </c>
    </row>
    <row r="111" spans="1:39" x14ac:dyDescent="0.25">
      <c r="A111" s="217">
        <v>5</v>
      </c>
      <c r="B111" s="213" t="s">
        <v>21</v>
      </c>
      <c r="C111" s="213"/>
      <c r="D111" s="213"/>
      <c r="E111" s="213"/>
      <c r="F111" s="213"/>
      <c r="G111" s="213"/>
      <c r="H111" s="213"/>
      <c r="I111" s="213"/>
      <c r="J111" s="213"/>
      <c r="K111" s="33"/>
      <c r="L111" s="27">
        <v>11</v>
      </c>
      <c r="M111" s="213" t="s">
        <v>32</v>
      </c>
      <c r="N111" s="213"/>
      <c r="O111" s="213"/>
      <c r="P111" s="213"/>
      <c r="Q111" s="213"/>
      <c r="R111" s="213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25"/>
      <c r="AG111" s="25"/>
      <c r="AH111" s="25"/>
      <c r="AI111" s="25"/>
      <c r="AK111" s="31">
        <f t="shared" si="18"/>
        <v>0</v>
      </c>
      <c r="AL111" s="31">
        <f t="shared" si="16"/>
        <v>11</v>
      </c>
      <c r="AM111" s="31" t="e">
        <f>P111-#REF!</f>
        <v>#REF!</v>
      </c>
    </row>
    <row r="112" spans="1:39" x14ac:dyDescent="0.25">
      <c r="A112" s="217"/>
      <c r="B112" s="213" t="s">
        <v>22</v>
      </c>
      <c r="C112" s="213"/>
      <c r="D112" s="213"/>
      <c r="E112" s="213"/>
      <c r="F112" s="213"/>
      <c r="G112" s="213"/>
      <c r="H112" s="213"/>
      <c r="I112" s="213"/>
      <c r="J112" s="213"/>
      <c r="K112" s="33"/>
      <c r="L112" s="27">
        <v>12</v>
      </c>
      <c r="M112" s="213" t="s">
        <v>33</v>
      </c>
      <c r="N112" s="213"/>
      <c r="O112" s="213"/>
      <c r="P112" s="213"/>
      <c r="Q112" s="213"/>
      <c r="R112" s="213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25"/>
      <c r="AG112" s="25"/>
      <c r="AH112" s="25"/>
      <c r="AI112" s="25"/>
      <c r="AK112" s="31">
        <f t="shared" si="18"/>
        <v>0</v>
      </c>
      <c r="AL112" s="31">
        <f t="shared" si="16"/>
        <v>12</v>
      </c>
      <c r="AM112" s="31" t="e">
        <f>P112-#REF!</f>
        <v>#REF!</v>
      </c>
    </row>
    <row r="113" spans="1:39" x14ac:dyDescent="0.25">
      <c r="A113" s="27">
        <v>6</v>
      </c>
      <c r="B113" s="213" t="s">
        <v>23</v>
      </c>
      <c r="C113" s="213"/>
      <c r="D113" s="213"/>
      <c r="E113" s="213"/>
      <c r="F113" s="213"/>
      <c r="G113" s="213"/>
      <c r="H113" s="213"/>
      <c r="I113" s="213"/>
      <c r="J113" s="213"/>
      <c r="K113" s="33"/>
      <c r="L113" s="25"/>
      <c r="M113" s="25"/>
      <c r="N113" s="214"/>
      <c r="O113" s="214"/>
      <c r="P113" s="214"/>
      <c r="Q113" s="214"/>
      <c r="R113" s="25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25"/>
      <c r="AG113" s="25"/>
      <c r="AH113" s="25"/>
      <c r="AI113" s="25"/>
      <c r="AK113" s="31">
        <f t="shared" si="18"/>
        <v>0</v>
      </c>
      <c r="AL113" s="31">
        <f t="shared" si="16"/>
        <v>0</v>
      </c>
      <c r="AM113" s="31" t="e">
        <f>P113-#REF!</f>
        <v>#REF!</v>
      </c>
    </row>
  </sheetData>
  <mergeCells count="57">
    <mergeCell ref="A3:A6"/>
    <mergeCell ref="U5:U6"/>
    <mergeCell ref="V5:V6"/>
    <mergeCell ref="W5:X5"/>
    <mergeCell ref="Y5:Y6"/>
    <mergeCell ref="S3:AH3"/>
    <mergeCell ref="AE5:AE6"/>
    <mergeCell ref="AG5:AG6"/>
    <mergeCell ref="AH5:AH6"/>
    <mergeCell ref="C3:R3"/>
    <mergeCell ref="B3:B6"/>
    <mergeCell ref="Z5:Z6"/>
    <mergeCell ref="AA5:AA6"/>
    <mergeCell ref="S5:S6"/>
    <mergeCell ref="T5:T6"/>
    <mergeCell ref="AB5:AB6"/>
    <mergeCell ref="AC5:AC6"/>
    <mergeCell ref="AD5:AD6"/>
    <mergeCell ref="M112:R112"/>
    <mergeCell ref="B108:J108"/>
    <mergeCell ref="M108:R108"/>
    <mergeCell ref="B107:J107"/>
    <mergeCell ref="M107:R107"/>
    <mergeCell ref="B109:J109"/>
    <mergeCell ref="M109:R109"/>
    <mergeCell ref="B113:J113"/>
    <mergeCell ref="N113:Q113"/>
    <mergeCell ref="B110:J110"/>
    <mergeCell ref="M110:R110"/>
    <mergeCell ref="D5:D6"/>
    <mergeCell ref="E5:E6"/>
    <mergeCell ref="K5:K6"/>
    <mergeCell ref="A106:R106"/>
    <mergeCell ref="F5:F6"/>
    <mergeCell ref="G5:H5"/>
    <mergeCell ref="I5:I6"/>
    <mergeCell ref="J5:J6"/>
    <mergeCell ref="A111:A112"/>
    <mergeCell ref="B111:J111"/>
    <mergeCell ref="M111:R111"/>
    <mergeCell ref="B112:J112"/>
    <mergeCell ref="A1:E1"/>
    <mergeCell ref="C4:O4"/>
    <mergeCell ref="P4:P6"/>
    <mergeCell ref="Q4:R4"/>
    <mergeCell ref="C5:C6"/>
    <mergeCell ref="M5:M6"/>
    <mergeCell ref="N5:N6"/>
    <mergeCell ref="O5:O6"/>
    <mergeCell ref="Q5:Q6"/>
    <mergeCell ref="R5:R6"/>
    <mergeCell ref="A2:AI2"/>
    <mergeCell ref="L5:L6"/>
    <mergeCell ref="AI3:AI6"/>
    <mergeCell ref="S4:AE4"/>
    <mergeCell ref="AF4:AF6"/>
    <mergeCell ref="AG4:AH4"/>
  </mergeCells>
  <pageMargins left="0.7" right="0.26" top="0.4" bottom="0.46" header="0.3" footer="0.3"/>
  <pageSetup paperSize="9" scale="4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B23DC-C755-4019-A21C-51A64DAF6F46}">
  <dimension ref="A3:H54"/>
  <sheetViews>
    <sheetView showGridLines="0" tabSelected="1" zoomScale="115" zoomScaleNormal="115" workbookViewId="0">
      <pane ySplit="6" topLeftCell="A7" activePane="bottomLeft" state="frozen"/>
      <selection activeCell="O6" sqref="O6:O8"/>
      <selection pane="bottomLeft" activeCell="L4" sqref="L4"/>
    </sheetView>
  </sheetViews>
  <sheetFormatPr defaultColWidth="8.75" defaultRowHeight="18.75" x14ac:dyDescent="0.25"/>
  <cols>
    <col min="1" max="1" width="4.25" style="190" customWidth="1"/>
    <col min="2" max="2" width="22.875" style="190" customWidth="1"/>
    <col min="3" max="3" width="17.625" style="189" customWidth="1"/>
    <col min="4" max="8" width="12.25" style="190" customWidth="1"/>
    <col min="9" max="16384" width="8.75" style="190"/>
  </cols>
  <sheetData>
    <row r="3" spans="1:8" ht="38.450000000000003" customHeight="1" x14ac:dyDescent="0.25">
      <c r="A3" s="221" t="s">
        <v>1281</v>
      </c>
      <c r="B3" s="221"/>
      <c r="C3" s="221"/>
      <c r="D3" s="221"/>
      <c r="E3" s="221"/>
      <c r="F3" s="221"/>
      <c r="G3" s="221"/>
      <c r="H3" s="221"/>
    </row>
    <row r="4" spans="1:8" ht="25.15" customHeight="1" x14ac:dyDescent="0.25">
      <c r="A4" s="222" t="s">
        <v>1273</v>
      </c>
      <c r="B4" s="222"/>
      <c r="C4" s="222"/>
      <c r="D4" s="222"/>
      <c r="E4" s="222"/>
      <c r="F4" s="222"/>
      <c r="G4" s="222"/>
      <c r="H4" s="222"/>
    </row>
    <row r="5" spans="1:8" ht="27.6" customHeight="1" x14ac:dyDescent="0.25">
      <c r="A5" s="197"/>
      <c r="B5" s="198"/>
      <c r="C5" s="198"/>
      <c r="D5" s="198"/>
      <c r="E5" s="198"/>
      <c r="F5" s="223" t="s">
        <v>1279</v>
      </c>
      <c r="G5" s="223"/>
      <c r="H5" s="223"/>
    </row>
    <row r="6" spans="1:8" ht="47.45" customHeight="1" x14ac:dyDescent="0.25">
      <c r="A6" s="195" t="s">
        <v>0</v>
      </c>
      <c r="B6" s="196" t="s">
        <v>45</v>
      </c>
      <c r="C6" s="195" t="s">
        <v>1280</v>
      </c>
      <c r="D6" s="199" t="s">
        <v>1274</v>
      </c>
      <c r="E6" s="199" t="s">
        <v>1275</v>
      </c>
      <c r="F6" s="199" t="s">
        <v>1276</v>
      </c>
      <c r="G6" s="199" t="s">
        <v>1277</v>
      </c>
      <c r="H6" s="199" t="s">
        <v>1278</v>
      </c>
    </row>
    <row r="7" spans="1:8" ht="30" customHeight="1" x14ac:dyDescent="0.25">
      <c r="A7" s="195"/>
      <c r="B7" s="196"/>
      <c r="C7" s="195">
        <f>SUM(D7:H7)</f>
        <v>235</v>
      </c>
      <c r="D7" s="199">
        <f>SUM(D8:D54)</f>
        <v>47</v>
      </c>
      <c r="E7" s="199">
        <f t="shared" ref="E7:H7" si="0">SUM(E8:E54)</f>
        <v>47</v>
      </c>
      <c r="F7" s="199">
        <f t="shared" si="0"/>
        <v>47</v>
      </c>
      <c r="G7" s="199">
        <f t="shared" si="0"/>
        <v>47</v>
      </c>
      <c r="H7" s="199">
        <f t="shared" si="0"/>
        <v>47</v>
      </c>
    </row>
    <row r="8" spans="1:8" s="193" customFormat="1" ht="37.5" customHeight="1" x14ac:dyDescent="0.25">
      <c r="A8" s="191">
        <v>1</v>
      </c>
      <c r="B8" s="192" t="s">
        <v>106</v>
      </c>
      <c r="C8" s="195">
        <f t="shared" ref="C8:C54" si="1">SUM(D8:H8)</f>
        <v>5</v>
      </c>
      <c r="D8" s="200">
        <v>1</v>
      </c>
      <c r="E8" s="200">
        <v>1</v>
      </c>
      <c r="F8" s="200">
        <v>1</v>
      </c>
      <c r="G8" s="200">
        <v>1</v>
      </c>
      <c r="H8" s="200">
        <v>1</v>
      </c>
    </row>
    <row r="9" spans="1:8" s="193" customFormat="1" ht="37.5" customHeight="1" x14ac:dyDescent="0.25">
      <c r="A9" s="191">
        <v>2</v>
      </c>
      <c r="B9" s="194" t="s">
        <v>48</v>
      </c>
      <c r="C9" s="195">
        <f t="shared" si="1"/>
        <v>5</v>
      </c>
      <c r="D9" s="200">
        <v>1</v>
      </c>
      <c r="E9" s="200">
        <v>1</v>
      </c>
      <c r="F9" s="200">
        <v>1</v>
      </c>
      <c r="G9" s="200">
        <v>1</v>
      </c>
      <c r="H9" s="200">
        <v>1</v>
      </c>
    </row>
    <row r="10" spans="1:8" s="193" customFormat="1" ht="37.5" customHeight="1" x14ac:dyDescent="0.25">
      <c r="A10" s="191">
        <v>3</v>
      </c>
      <c r="B10" s="194" t="s">
        <v>49</v>
      </c>
      <c r="C10" s="195">
        <f t="shared" si="1"/>
        <v>5</v>
      </c>
      <c r="D10" s="200">
        <v>1</v>
      </c>
      <c r="E10" s="200">
        <v>1</v>
      </c>
      <c r="F10" s="200">
        <v>1</v>
      </c>
      <c r="G10" s="200">
        <v>1</v>
      </c>
      <c r="H10" s="200">
        <v>1</v>
      </c>
    </row>
    <row r="11" spans="1:8" s="193" customFormat="1" ht="37.5" customHeight="1" x14ac:dyDescent="0.25">
      <c r="A11" s="191">
        <v>4</v>
      </c>
      <c r="B11" s="194" t="s">
        <v>50</v>
      </c>
      <c r="C11" s="195">
        <f t="shared" si="1"/>
        <v>5</v>
      </c>
      <c r="D11" s="200">
        <v>1</v>
      </c>
      <c r="E11" s="200">
        <v>1</v>
      </c>
      <c r="F11" s="200">
        <v>1</v>
      </c>
      <c r="G11" s="200">
        <v>1</v>
      </c>
      <c r="H11" s="200">
        <v>1</v>
      </c>
    </row>
    <row r="12" spans="1:8" s="193" customFormat="1" ht="37.5" customHeight="1" x14ac:dyDescent="0.25">
      <c r="A12" s="191">
        <v>5</v>
      </c>
      <c r="B12" s="194" t="s">
        <v>51</v>
      </c>
      <c r="C12" s="195">
        <f t="shared" si="1"/>
        <v>5</v>
      </c>
      <c r="D12" s="200">
        <v>1</v>
      </c>
      <c r="E12" s="200">
        <v>1</v>
      </c>
      <c r="F12" s="200">
        <v>1</v>
      </c>
      <c r="G12" s="200">
        <v>1</v>
      </c>
      <c r="H12" s="200">
        <v>1</v>
      </c>
    </row>
    <row r="13" spans="1:8" s="193" customFormat="1" ht="37.5" customHeight="1" x14ac:dyDescent="0.25">
      <c r="A13" s="191">
        <v>6</v>
      </c>
      <c r="B13" s="192" t="s">
        <v>52</v>
      </c>
      <c r="C13" s="195">
        <f t="shared" si="1"/>
        <v>5</v>
      </c>
      <c r="D13" s="200">
        <v>1</v>
      </c>
      <c r="E13" s="200">
        <v>1</v>
      </c>
      <c r="F13" s="200">
        <v>1</v>
      </c>
      <c r="G13" s="200">
        <v>1</v>
      </c>
      <c r="H13" s="200">
        <v>1</v>
      </c>
    </row>
    <row r="14" spans="1:8" s="193" customFormat="1" ht="37.5" customHeight="1" x14ac:dyDescent="0.25">
      <c r="A14" s="191">
        <v>7</v>
      </c>
      <c r="B14" s="192" t="s">
        <v>53</v>
      </c>
      <c r="C14" s="195">
        <f t="shared" si="1"/>
        <v>5</v>
      </c>
      <c r="D14" s="200">
        <v>1</v>
      </c>
      <c r="E14" s="200">
        <v>1</v>
      </c>
      <c r="F14" s="200">
        <v>1</v>
      </c>
      <c r="G14" s="200">
        <v>1</v>
      </c>
      <c r="H14" s="200">
        <v>1</v>
      </c>
    </row>
    <row r="15" spans="1:8" s="193" customFormat="1" ht="37.5" customHeight="1" x14ac:dyDescent="0.25">
      <c r="A15" s="191">
        <v>8</v>
      </c>
      <c r="B15" s="192" t="s">
        <v>54</v>
      </c>
      <c r="C15" s="195">
        <f t="shared" si="1"/>
        <v>5</v>
      </c>
      <c r="D15" s="200">
        <v>1</v>
      </c>
      <c r="E15" s="200">
        <v>1</v>
      </c>
      <c r="F15" s="200">
        <v>1</v>
      </c>
      <c r="G15" s="200">
        <v>1</v>
      </c>
      <c r="H15" s="200">
        <v>1</v>
      </c>
    </row>
    <row r="16" spans="1:8" s="193" customFormat="1" ht="37.5" customHeight="1" x14ac:dyDescent="0.25">
      <c r="A16" s="191">
        <v>9</v>
      </c>
      <c r="B16" s="192" t="s">
        <v>55</v>
      </c>
      <c r="C16" s="195">
        <f t="shared" si="1"/>
        <v>5</v>
      </c>
      <c r="D16" s="200">
        <v>1</v>
      </c>
      <c r="E16" s="200">
        <v>1</v>
      </c>
      <c r="F16" s="200">
        <v>1</v>
      </c>
      <c r="G16" s="200">
        <v>1</v>
      </c>
      <c r="H16" s="200">
        <v>1</v>
      </c>
    </row>
    <row r="17" spans="1:8" s="193" customFormat="1" ht="37.5" customHeight="1" x14ac:dyDescent="0.25">
      <c r="A17" s="191">
        <v>10</v>
      </c>
      <c r="B17" s="192" t="s">
        <v>56</v>
      </c>
      <c r="C17" s="195">
        <f t="shared" si="1"/>
        <v>5</v>
      </c>
      <c r="D17" s="200">
        <v>1</v>
      </c>
      <c r="E17" s="200">
        <v>1</v>
      </c>
      <c r="F17" s="200">
        <v>1</v>
      </c>
      <c r="G17" s="200">
        <v>1</v>
      </c>
      <c r="H17" s="200">
        <v>1</v>
      </c>
    </row>
    <row r="18" spans="1:8" s="193" customFormat="1" ht="37.5" customHeight="1" x14ac:dyDescent="0.25">
      <c r="A18" s="191">
        <v>11</v>
      </c>
      <c r="B18" s="192" t="s">
        <v>57</v>
      </c>
      <c r="C18" s="195">
        <f t="shared" si="1"/>
        <v>5</v>
      </c>
      <c r="D18" s="200">
        <v>1</v>
      </c>
      <c r="E18" s="200">
        <v>1</v>
      </c>
      <c r="F18" s="200">
        <v>1</v>
      </c>
      <c r="G18" s="200">
        <v>1</v>
      </c>
      <c r="H18" s="200">
        <v>1</v>
      </c>
    </row>
    <row r="19" spans="1:8" s="193" customFormat="1" ht="37.5" customHeight="1" x14ac:dyDescent="0.25">
      <c r="A19" s="191">
        <v>12</v>
      </c>
      <c r="B19" s="192" t="s">
        <v>62</v>
      </c>
      <c r="C19" s="195">
        <f t="shared" si="1"/>
        <v>5</v>
      </c>
      <c r="D19" s="200">
        <v>1</v>
      </c>
      <c r="E19" s="200">
        <v>1</v>
      </c>
      <c r="F19" s="200">
        <v>1</v>
      </c>
      <c r="G19" s="200">
        <v>1</v>
      </c>
      <c r="H19" s="200">
        <v>1</v>
      </c>
    </row>
    <row r="20" spans="1:8" s="193" customFormat="1" ht="37.5" customHeight="1" x14ac:dyDescent="0.25">
      <c r="A20" s="191">
        <v>13</v>
      </c>
      <c r="B20" s="192" t="s">
        <v>64</v>
      </c>
      <c r="C20" s="195">
        <f t="shared" si="1"/>
        <v>5</v>
      </c>
      <c r="D20" s="200">
        <v>1</v>
      </c>
      <c r="E20" s="200">
        <v>1</v>
      </c>
      <c r="F20" s="200">
        <v>1</v>
      </c>
      <c r="G20" s="200">
        <v>1</v>
      </c>
      <c r="H20" s="200">
        <v>1</v>
      </c>
    </row>
    <row r="21" spans="1:8" s="193" customFormat="1" ht="37.5" customHeight="1" x14ac:dyDescent="0.25">
      <c r="A21" s="191">
        <v>14</v>
      </c>
      <c r="B21" s="192" t="s">
        <v>69</v>
      </c>
      <c r="C21" s="195">
        <f t="shared" si="1"/>
        <v>5</v>
      </c>
      <c r="D21" s="200">
        <v>1</v>
      </c>
      <c r="E21" s="200">
        <v>1</v>
      </c>
      <c r="F21" s="200">
        <v>1</v>
      </c>
      <c r="G21" s="200">
        <v>1</v>
      </c>
      <c r="H21" s="200">
        <v>1</v>
      </c>
    </row>
    <row r="22" spans="1:8" s="193" customFormat="1" ht="37.5" customHeight="1" x14ac:dyDescent="0.25">
      <c r="A22" s="191">
        <v>15</v>
      </c>
      <c r="B22" s="192" t="s">
        <v>76</v>
      </c>
      <c r="C22" s="195">
        <f t="shared" si="1"/>
        <v>5</v>
      </c>
      <c r="D22" s="200">
        <v>1</v>
      </c>
      <c r="E22" s="200">
        <v>1</v>
      </c>
      <c r="F22" s="200">
        <v>1</v>
      </c>
      <c r="G22" s="200">
        <v>1</v>
      </c>
      <c r="H22" s="200">
        <v>1</v>
      </c>
    </row>
    <row r="23" spans="1:8" s="193" customFormat="1" ht="37.5" customHeight="1" x14ac:dyDescent="0.25">
      <c r="A23" s="191">
        <v>16</v>
      </c>
      <c r="B23" s="192" t="s">
        <v>78</v>
      </c>
      <c r="C23" s="195">
        <f t="shared" si="1"/>
        <v>5</v>
      </c>
      <c r="D23" s="200">
        <v>1</v>
      </c>
      <c r="E23" s="200">
        <v>1</v>
      </c>
      <c r="F23" s="200">
        <v>1</v>
      </c>
      <c r="G23" s="200">
        <v>1</v>
      </c>
      <c r="H23" s="200">
        <v>1</v>
      </c>
    </row>
    <row r="24" spans="1:8" s="193" customFormat="1" ht="37.5" customHeight="1" x14ac:dyDescent="0.25">
      <c r="A24" s="191">
        <v>17</v>
      </c>
      <c r="B24" s="192" t="s">
        <v>82</v>
      </c>
      <c r="C24" s="195">
        <f t="shared" si="1"/>
        <v>5</v>
      </c>
      <c r="D24" s="200">
        <v>1</v>
      </c>
      <c r="E24" s="200">
        <v>1</v>
      </c>
      <c r="F24" s="200">
        <v>1</v>
      </c>
      <c r="G24" s="200">
        <v>1</v>
      </c>
      <c r="H24" s="200">
        <v>1</v>
      </c>
    </row>
    <row r="25" spans="1:8" s="193" customFormat="1" ht="37.5" customHeight="1" x14ac:dyDescent="0.25">
      <c r="A25" s="191">
        <v>18</v>
      </c>
      <c r="B25" s="192" t="s">
        <v>145</v>
      </c>
      <c r="C25" s="195">
        <f t="shared" si="1"/>
        <v>5</v>
      </c>
      <c r="D25" s="200">
        <v>1</v>
      </c>
      <c r="E25" s="200">
        <v>1</v>
      </c>
      <c r="F25" s="200">
        <v>1</v>
      </c>
      <c r="G25" s="200">
        <v>1</v>
      </c>
      <c r="H25" s="200">
        <v>1</v>
      </c>
    </row>
    <row r="26" spans="1:8" s="193" customFormat="1" ht="37.5" customHeight="1" x14ac:dyDescent="0.25">
      <c r="A26" s="191">
        <v>19</v>
      </c>
      <c r="B26" s="192" t="s">
        <v>144</v>
      </c>
      <c r="C26" s="195">
        <f t="shared" si="1"/>
        <v>5</v>
      </c>
      <c r="D26" s="200">
        <v>1</v>
      </c>
      <c r="E26" s="200">
        <v>1</v>
      </c>
      <c r="F26" s="200">
        <v>1</v>
      </c>
      <c r="G26" s="200">
        <v>1</v>
      </c>
      <c r="H26" s="200">
        <v>1</v>
      </c>
    </row>
    <row r="27" spans="1:8" s="193" customFormat="1" ht="37.5" customHeight="1" x14ac:dyDescent="0.25">
      <c r="A27" s="191">
        <v>20</v>
      </c>
      <c r="B27" s="192" t="s">
        <v>143</v>
      </c>
      <c r="C27" s="195">
        <f t="shared" si="1"/>
        <v>5</v>
      </c>
      <c r="D27" s="200">
        <v>1</v>
      </c>
      <c r="E27" s="200">
        <v>1</v>
      </c>
      <c r="F27" s="200">
        <v>1</v>
      </c>
      <c r="G27" s="200">
        <v>1</v>
      </c>
      <c r="H27" s="200">
        <v>1</v>
      </c>
    </row>
    <row r="28" spans="1:8" s="193" customFormat="1" ht="37.5" customHeight="1" x14ac:dyDescent="0.25">
      <c r="A28" s="191">
        <v>21</v>
      </c>
      <c r="B28" s="192" t="s">
        <v>142</v>
      </c>
      <c r="C28" s="195">
        <f t="shared" si="1"/>
        <v>5</v>
      </c>
      <c r="D28" s="200">
        <v>1</v>
      </c>
      <c r="E28" s="200">
        <v>1</v>
      </c>
      <c r="F28" s="200">
        <v>1</v>
      </c>
      <c r="G28" s="200">
        <v>1</v>
      </c>
      <c r="H28" s="200">
        <v>1</v>
      </c>
    </row>
    <row r="29" spans="1:8" s="193" customFormat="1" ht="37.5" customHeight="1" x14ac:dyDescent="0.25">
      <c r="A29" s="191">
        <v>22</v>
      </c>
      <c r="B29" s="192" t="s">
        <v>141</v>
      </c>
      <c r="C29" s="195">
        <f t="shared" si="1"/>
        <v>5</v>
      </c>
      <c r="D29" s="200">
        <v>1</v>
      </c>
      <c r="E29" s="200">
        <v>1</v>
      </c>
      <c r="F29" s="200">
        <v>1</v>
      </c>
      <c r="G29" s="200">
        <v>1</v>
      </c>
      <c r="H29" s="200">
        <v>1</v>
      </c>
    </row>
    <row r="30" spans="1:8" s="193" customFormat="1" ht="37.5" customHeight="1" x14ac:dyDescent="0.25">
      <c r="A30" s="191">
        <v>23</v>
      </c>
      <c r="B30" s="192" t="s">
        <v>140</v>
      </c>
      <c r="C30" s="195">
        <f t="shared" si="1"/>
        <v>5</v>
      </c>
      <c r="D30" s="200">
        <v>1</v>
      </c>
      <c r="E30" s="200">
        <v>1</v>
      </c>
      <c r="F30" s="200">
        <v>1</v>
      </c>
      <c r="G30" s="200">
        <v>1</v>
      </c>
      <c r="H30" s="200">
        <v>1</v>
      </c>
    </row>
    <row r="31" spans="1:8" s="193" customFormat="1" ht="37.5" customHeight="1" x14ac:dyDescent="0.25">
      <c r="A31" s="191">
        <v>24</v>
      </c>
      <c r="B31" s="192" t="s">
        <v>139</v>
      </c>
      <c r="C31" s="195">
        <f t="shared" si="1"/>
        <v>5</v>
      </c>
      <c r="D31" s="200">
        <v>1</v>
      </c>
      <c r="E31" s="200">
        <v>1</v>
      </c>
      <c r="F31" s="200">
        <v>1</v>
      </c>
      <c r="G31" s="200">
        <v>1</v>
      </c>
      <c r="H31" s="200">
        <v>1</v>
      </c>
    </row>
    <row r="32" spans="1:8" s="193" customFormat="1" ht="37.5" customHeight="1" x14ac:dyDescent="0.25">
      <c r="A32" s="191">
        <v>25</v>
      </c>
      <c r="B32" s="192" t="s">
        <v>138</v>
      </c>
      <c r="C32" s="195">
        <f t="shared" si="1"/>
        <v>5</v>
      </c>
      <c r="D32" s="200">
        <v>1</v>
      </c>
      <c r="E32" s="200">
        <v>1</v>
      </c>
      <c r="F32" s="200">
        <v>1</v>
      </c>
      <c r="G32" s="200">
        <v>1</v>
      </c>
      <c r="H32" s="200">
        <v>1</v>
      </c>
    </row>
    <row r="33" spans="1:8" s="193" customFormat="1" ht="37.5" customHeight="1" x14ac:dyDescent="0.25">
      <c r="A33" s="191">
        <v>26</v>
      </c>
      <c r="B33" s="192" t="s">
        <v>137</v>
      </c>
      <c r="C33" s="195">
        <f t="shared" si="1"/>
        <v>5</v>
      </c>
      <c r="D33" s="200">
        <v>1</v>
      </c>
      <c r="E33" s="200">
        <v>1</v>
      </c>
      <c r="F33" s="200">
        <v>1</v>
      </c>
      <c r="G33" s="200">
        <v>1</v>
      </c>
      <c r="H33" s="200">
        <v>1</v>
      </c>
    </row>
    <row r="34" spans="1:8" s="193" customFormat="1" ht="37.5" customHeight="1" x14ac:dyDescent="0.25">
      <c r="A34" s="191">
        <v>27</v>
      </c>
      <c r="B34" s="192" t="s">
        <v>135</v>
      </c>
      <c r="C34" s="195">
        <f t="shared" si="1"/>
        <v>5</v>
      </c>
      <c r="D34" s="200">
        <v>1</v>
      </c>
      <c r="E34" s="200">
        <v>1</v>
      </c>
      <c r="F34" s="200">
        <v>1</v>
      </c>
      <c r="G34" s="200">
        <v>1</v>
      </c>
      <c r="H34" s="200">
        <v>1</v>
      </c>
    </row>
    <row r="35" spans="1:8" s="193" customFormat="1" ht="37.5" customHeight="1" x14ac:dyDescent="0.25">
      <c r="A35" s="191">
        <v>28</v>
      </c>
      <c r="B35" s="192" t="s">
        <v>127</v>
      </c>
      <c r="C35" s="195">
        <f t="shared" si="1"/>
        <v>5</v>
      </c>
      <c r="D35" s="200">
        <v>1</v>
      </c>
      <c r="E35" s="200">
        <v>1</v>
      </c>
      <c r="F35" s="200">
        <v>1</v>
      </c>
      <c r="G35" s="200">
        <v>1</v>
      </c>
      <c r="H35" s="200">
        <v>1</v>
      </c>
    </row>
    <row r="36" spans="1:8" s="193" customFormat="1" ht="37.5" customHeight="1" x14ac:dyDescent="0.25">
      <c r="A36" s="191">
        <v>29</v>
      </c>
      <c r="B36" s="192" t="s">
        <v>128</v>
      </c>
      <c r="C36" s="195">
        <f t="shared" si="1"/>
        <v>5</v>
      </c>
      <c r="D36" s="200">
        <v>1</v>
      </c>
      <c r="E36" s="200">
        <v>1</v>
      </c>
      <c r="F36" s="200">
        <v>1</v>
      </c>
      <c r="G36" s="200">
        <v>1</v>
      </c>
      <c r="H36" s="200">
        <v>1</v>
      </c>
    </row>
    <row r="37" spans="1:8" s="193" customFormat="1" ht="37.5" customHeight="1" x14ac:dyDescent="0.25">
      <c r="A37" s="191">
        <v>30</v>
      </c>
      <c r="B37" s="192" t="s">
        <v>129</v>
      </c>
      <c r="C37" s="195">
        <f t="shared" si="1"/>
        <v>5</v>
      </c>
      <c r="D37" s="200">
        <v>1</v>
      </c>
      <c r="E37" s="200">
        <v>1</v>
      </c>
      <c r="F37" s="200">
        <v>1</v>
      </c>
      <c r="G37" s="200">
        <v>1</v>
      </c>
      <c r="H37" s="200">
        <v>1</v>
      </c>
    </row>
    <row r="38" spans="1:8" s="193" customFormat="1" ht="37.5" customHeight="1" x14ac:dyDescent="0.25">
      <c r="A38" s="191">
        <v>31</v>
      </c>
      <c r="B38" s="192" t="s">
        <v>130</v>
      </c>
      <c r="C38" s="195">
        <f t="shared" si="1"/>
        <v>5</v>
      </c>
      <c r="D38" s="200">
        <v>1</v>
      </c>
      <c r="E38" s="200">
        <v>1</v>
      </c>
      <c r="F38" s="200">
        <v>1</v>
      </c>
      <c r="G38" s="200">
        <v>1</v>
      </c>
      <c r="H38" s="200">
        <v>1</v>
      </c>
    </row>
    <row r="39" spans="1:8" s="193" customFormat="1" ht="37.5" customHeight="1" x14ac:dyDescent="0.25">
      <c r="A39" s="191">
        <v>32</v>
      </c>
      <c r="B39" s="192" t="s">
        <v>131</v>
      </c>
      <c r="C39" s="195">
        <f t="shared" si="1"/>
        <v>5</v>
      </c>
      <c r="D39" s="200">
        <v>1</v>
      </c>
      <c r="E39" s="200">
        <v>1</v>
      </c>
      <c r="F39" s="200">
        <v>1</v>
      </c>
      <c r="G39" s="200">
        <v>1</v>
      </c>
      <c r="H39" s="200">
        <v>1</v>
      </c>
    </row>
    <row r="40" spans="1:8" s="193" customFormat="1" ht="37.5" customHeight="1" x14ac:dyDescent="0.25">
      <c r="A40" s="191">
        <v>33</v>
      </c>
      <c r="B40" s="192" t="s">
        <v>132</v>
      </c>
      <c r="C40" s="195">
        <f t="shared" si="1"/>
        <v>5</v>
      </c>
      <c r="D40" s="200">
        <v>1</v>
      </c>
      <c r="E40" s="200">
        <v>1</v>
      </c>
      <c r="F40" s="200">
        <v>1</v>
      </c>
      <c r="G40" s="200">
        <v>1</v>
      </c>
      <c r="H40" s="200">
        <v>1</v>
      </c>
    </row>
    <row r="41" spans="1:8" s="193" customFormat="1" ht="37.5" customHeight="1" x14ac:dyDescent="0.25">
      <c r="A41" s="191">
        <v>34</v>
      </c>
      <c r="B41" s="192" t="s">
        <v>122</v>
      </c>
      <c r="C41" s="195">
        <f t="shared" si="1"/>
        <v>5</v>
      </c>
      <c r="D41" s="200">
        <v>1</v>
      </c>
      <c r="E41" s="200">
        <v>1</v>
      </c>
      <c r="F41" s="200">
        <v>1</v>
      </c>
      <c r="G41" s="200">
        <v>1</v>
      </c>
      <c r="H41" s="200">
        <v>1</v>
      </c>
    </row>
    <row r="42" spans="1:8" s="193" customFormat="1" ht="37.5" customHeight="1" x14ac:dyDescent="0.25">
      <c r="A42" s="191">
        <v>35</v>
      </c>
      <c r="B42" s="192" t="s">
        <v>123</v>
      </c>
      <c r="C42" s="195">
        <f t="shared" si="1"/>
        <v>5</v>
      </c>
      <c r="D42" s="200">
        <v>1</v>
      </c>
      <c r="E42" s="200">
        <v>1</v>
      </c>
      <c r="F42" s="200">
        <v>1</v>
      </c>
      <c r="G42" s="200">
        <v>1</v>
      </c>
      <c r="H42" s="200">
        <v>1</v>
      </c>
    </row>
    <row r="43" spans="1:8" s="193" customFormat="1" ht="37.5" customHeight="1" x14ac:dyDescent="0.25">
      <c r="A43" s="191">
        <v>36</v>
      </c>
      <c r="B43" s="192" t="s">
        <v>124</v>
      </c>
      <c r="C43" s="195">
        <f t="shared" si="1"/>
        <v>5</v>
      </c>
      <c r="D43" s="200">
        <v>1</v>
      </c>
      <c r="E43" s="200">
        <v>1</v>
      </c>
      <c r="F43" s="200">
        <v>1</v>
      </c>
      <c r="G43" s="200">
        <v>1</v>
      </c>
      <c r="H43" s="200">
        <v>1</v>
      </c>
    </row>
    <row r="44" spans="1:8" s="193" customFormat="1" ht="37.5" customHeight="1" x14ac:dyDescent="0.25">
      <c r="A44" s="191">
        <v>37</v>
      </c>
      <c r="B44" s="192" t="s">
        <v>120</v>
      </c>
      <c r="C44" s="195">
        <f t="shared" si="1"/>
        <v>5</v>
      </c>
      <c r="D44" s="200">
        <v>1</v>
      </c>
      <c r="E44" s="200">
        <v>1</v>
      </c>
      <c r="F44" s="200">
        <v>1</v>
      </c>
      <c r="G44" s="200">
        <v>1</v>
      </c>
      <c r="H44" s="200">
        <v>1</v>
      </c>
    </row>
    <row r="45" spans="1:8" s="193" customFormat="1" ht="37.5" customHeight="1" x14ac:dyDescent="0.25">
      <c r="A45" s="191">
        <v>38</v>
      </c>
      <c r="B45" s="192" t="s">
        <v>118</v>
      </c>
      <c r="C45" s="195">
        <f t="shared" si="1"/>
        <v>5</v>
      </c>
      <c r="D45" s="200">
        <v>1</v>
      </c>
      <c r="E45" s="200">
        <v>1</v>
      </c>
      <c r="F45" s="200">
        <v>1</v>
      </c>
      <c r="G45" s="200">
        <v>1</v>
      </c>
      <c r="H45" s="200">
        <v>1</v>
      </c>
    </row>
    <row r="46" spans="1:8" s="193" customFormat="1" ht="37.5" customHeight="1" x14ac:dyDescent="0.25">
      <c r="A46" s="191">
        <v>39</v>
      </c>
      <c r="B46" s="192" t="s">
        <v>117</v>
      </c>
      <c r="C46" s="195">
        <f t="shared" si="1"/>
        <v>5</v>
      </c>
      <c r="D46" s="200">
        <v>1</v>
      </c>
      <c r="E46" s="200">
        <v>1</v>
      </c>
      <c r="F46" s="200">
        <v>1</v>
      </c>
      <c r="G46" s="200">
        <v>1</v>
      </c>
      <c r="H46" s="200">
        <v>1</v>
      </c>
    </row>
    <row r="47" spans="1:8" s="193" customFormat="1" ht="37.5" customHeight="1" x14ac:dyDescent="0.25">
      <c r="A47" s="191">
        <v>40</v>
      </c>
      <c r="B47" s="192" t="s">
        <v>116</v>
      </c>
      <c r="C47" s="195">
        <f t="shared" si="1"/>
        <v>5</v>
      </c>
      <c r="D47" s="200">
        <v>1</v>
      </c>
      <c r="E47" s="200">
        <v>1</v>
      </c>
      <c r="F47" s="200">
        <v>1</v>
      </c>
      <c r="G47" s="200">
        <v>1</v>
      </c>
      <c r="H47" s="200">
        <v>1</v>
      </c>
    </row>
    <row r="48" spans="1:8" s="193" customFormat="1" ht="37.5" customHeight="1" x14ac:dyDescent="0.25">
      <c r="A48" s="191">
        <v>41</v>
      </c>
      <c r="B48" s="192" t="s">
        <v>115</v>
      </c>
      <c r="C48" s="195">
        <f t="shared" si="1"/>
        <v>5</v>
      </c>
      <c r="D48" s="200">
        <v>1</v>
      </c>
      <c r="E48" s="200">
        <v>1</v>
      </c>
      <c r="F48" s="200">
        <v>1</v>
      </c>
      <c r="G48" s="200">
        <v>1</v>
      </c>
      <c r="H48" s="200">
        <v>1</v>
      </c>
    </row>
    <row r="49" spans="1:8" s="193" customFormat="1" ht="37.5" customHeight="1" x14ac:dyDescent="0.25">
      <c r="A49" s="191">
        <v>42</v>
      </c>
      <c r="B49" s="192" t="s">
        <v>114</v>
      </c>
      <c r="C49" s="195">
        <f t="shared" si="1"/>
        <v>5</v>
      </c>
      <c r="D49" s="200">
        <v>1</v>
      </c>
      <c r="E49" s="200">
        <v>1</v>
      </c>
      <c r="F49" s="200">
        <v>1</v>
      </c>
      <c r="G49" s="200">
        <v>1</v>
      </c>
      <c r="H49" s="200">
        <v>1</v>
      </c>
    </row>
    <row r="50" spans="1:8" s="193" customFormat="1" ht="37.5" customHeight="1" x14ac:dyDescent="0.25">
      <c r="A50" s="191">
        <v>43</v>
      </c>
      <c r="B50" s="192" t="s">
        <v>112</v>
      </c>
      <c r="C50" s="195">
        <f t="shared" si="1"/>
        <v>5</v>
      </c>
      <c r="D50" s="200">
        <v>1</v>
      </c>
      <c r="E50" s="200">
        <v>1</v>
      </c>
      <c r="F50" s="200">
        <v>1</v>
      </c>
      <c r="G50" s="200">
        <v>1</v>
      </c>
      <c r="H50" s="200">
        <v>1</v>
      </c>
    </row>
    <row r="51" spans="1:8" s="193" customFormat="1" ht="37.5" customHeight="1" x14ac:dyDescent="0.25">
      <c r="A51" s="191">
        <v>44</v>
      </c>
      <c r="B51" s="192" t="s">
        <v>111</v>
      </c>
      <c r="C51" s="195">
        <f t="shared" si="1"/>
        <v>5</v>
      </c>
      <c r="D51" s="200">
        <v>1</v>
      </c>
      <c r="E51" s="200">
        <v>1</v>
      </c>
      <c r="F51" s="200">
        <v>1</v>
      </c>
      <c r="G51" s="200">
        <v>1</v>
      </c>
      <c r="H51" s="200">
        <v>1</v>
      </c>
    </row>
    <row r="52" spans="1:8" s="193" customFormat="1" ht="37.5" customHeight="1" x14ac:dyDescent="0.25">
      <c r="A52" s="191">
        <v>45</v>
      </c>
      <c r="B52" s="192" t="s">
        <v>110</v>
      </c>
      <c r="C52" s="195">
        <f t="shared" si="1"/>
        <v>5</v>
      </c>
      <c r="D52" s="200">
        <v>1</v>
      </c>
      <c r="E52" s="200">
        <v>1</v>
      </c>
      <c r="F52" s="200">
        <v>1</v>
      </c>
      <c r="G52" s="200">
        <v>1</v>
      </c>
      <c r="H52" s="200">
        <v>1</v>
      </c>
    </row>
    <row r="53" spans="1:8" s="193" customFormat="1" ht="37.5" customHeight="1" x14ac:dyDescent="0.25">
      <c r="A53" s="191">
        <v>46</v>
      </c>
      <c r="B53" s="192" t="s">
        <v>109</v>
      </c>
      <c r="C53" s="195">
        <f t="shared" si="1"/>
        <v>5</v>
      </c>
      <c r="D53" s="200">
        <v>1</v>
      </c>
      <c r="E53" s="200">
        <v>1</v>
      </c>
      <c r="F53" s="200">
        <v>1</v>
      </c>
      <c r="G53" s="200">
        <v>1</v>
      </c>
      <c r="H53" s="200">
        <v>1</v>
      </c>
    </row>
    <row r="54" spans="1:8" s="193" customFormat="1" ht="37.5" customHeight="1" x14ac:dyDescent="0.25">
      <c r="A54" s="191">
        <v>47</v>
      </c>
      <c r="B54" s="192" t="s">
        <v>100</v>
      </c>
      <c r="C54" s="195">
        <f t="shared" si="1"/>
        <v>5</v>
      </c>
      <c r="D54" s="200">
        <v>1</v>
      </c>
      <c r="E54" s="200">
        <v>1</v>
      </c>
      <c r="F54" s="200">
        <v>1</v>
      </c>
      <c r="G54" s="200">
        <v>1</v>
      </c>
      <c r="H54" s="200">
        <v>1</v>
      </c>
    </row>
  </sheetData>
  <mergeCells count="3">
    <mergeCell ref="A3:H3"/>
    <mergeCell ref="A4:H4"/>
    <mergeCell ref="F5:H5"/>
  </mergeCells>
  <phoneticPr fontId="26" type="noConversion"/>
  <pageMargins left="0.5" right="0.33" top="0.48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7D3C8-A505-45CD-AF02-441405F9AD5E}">
  <dimension ref="A1:J112"/>
  <sheetViews>
    <sheetView showGridLines="0" zoomScaleNormal="100" workbookViewId="0">
      <pane ySplit="6" topLeftCell="A10" activePane="bottomLeft" state="frozen"/>
      <selection activeCell="G16" sqref="G16"/>
      <selection pane="bottomLeft" activeCell="I11" sqref="I11"/>
    </sheetView>
  </sheetViews>
  <sheetFormatPr defaultColWidth="8.75" defaultRowHeight="15" x14ac:dyDescent="0.25"/>
  <cols>
    <col min="1" max="1" width="4.25" style="26" customWidth="1"/>
    <col min="2" max="2" width="29.75" style="26" customWidth="1"/>
    <col min="3" max="3" width="10.125" style="160" customWidth="1"/>
    <col min="4" max="4" width="9.625" style="160" customWidth="1"/>
    <col min="5" max="5" width="12" style="160" customWidth="1"/>
    <col min="6" max="6" width="11.25" style="160" customWidth="1"/>
    <col min="7" max="7" width="11.625" style="160" customWidth="1"/>
    <col min="8" max="16384" width="8.75" style="26"/>
  </cols>
  <sheetData>
    <row r="1" spans="1:10" ht="38.450000000000003" customHeight="1" x14ac:dyDescent="0.25">
      <c r="A1" s="225"/>
      <c r="B1" s="225"/>
      <c r="G1" s="161" t="s">
        <v>46</v>
      </c>
    </row>
    <row r="2" spans="1:10" ht="20.45" customHeight="1" x14ac:dyDescent="0.25">
      <c r="A2" s="224" t="s">
        <v>36</v>
      </c>
      <c r="B2" s="224"/>
      <c r="C2" s="224"/>
      <c r="D2" s="224"/>
      <c r="E2" s="224"/>
      <c r="F2" s="224"/>
      <c r="G2" s="224"/>
    </row>
    <row r="3" spans="1:10" ht="20.45" customHeight="1" x14ac:dyDescent="0.25">
      <c r="A3" s="227" t="s">
        <v>1270</v>
      </c>
      <c r="B3" s="227"/>
      <c r="C3" s="227"/>
      <c r="D3" s="227"/>
      <c r="E3" s="227"/>
      <c r="F3" s="227"/>
      <c r="G3" s="227"/>
    </row>
    <row r="4" spans="1:10" ht="19.5" customHeight="1" x14ac:dyDescent="0.25">
      <c r="A4" s="227"/>
      <c r="B4" s="227"/>
      <c r="C4" s="227"/>
      <c r="D4" s="227"/>
      <c r="E4" s="227"/>
      <c r="F4" s="227"/>
      <c r="G4" s="227"/>
    </row>
    <row r="5" spans="1:10" ht="30" customHeight="1" x14ac:dyDescent="0.25">
      <c r="A5" s="226" t="s">
        <v>0</v>
      </c>
      <c r="B5" s="226" t="s">
        <v>10</v>
      </c>
      <c r="C5" s="226" t="s">
        <v>37</v>
      </c>
      <c r="D5" s="226"/>
      <c r="E5" s="226" t="s">
        <v>38</v>
      </c>
      <c r="F5" s="226" t="s">
        <v>39</v>
      </c>
      <c r="G5" s="226"/>
    </row>
    <row r="6" spans="1:10" ht="48" customHeight="1" x14ac:dyDescent="0.25">
      <c r="A6" s="226"/>
      <c r="B6" s="226"/>
      <c r="C6" s="158" t="s">
        <v>34</v>
      </c>
      <c r="D6" s="158" t="s">
        <v>35</v>
      </c>
      <c r="E6" s="226"/>
      <c r="F6" s="158" t="s">
        <v>40</v>
      </c>
      <c r="G6" s="158" t="s">
        <v>41</v>
      </c>
    </row>
    <row r="7" spans="1:10" ht="26.45" customHeight="1" x14ac:dyDescent="0.25">
      <c r="A7" s="8" t="s">
        <v>1</v>
      </c>
      <c r="B7" s="103" t="s">
        <v>1271</v>
      </c>
      <c r="C7" s="8">
        <f>SUM(C8:C11)</f>
        <v>0</v>
      </c>
      <c r="D7" s="8">
        <f>SUM(D8:D11)</f>
        <v>0</v>
      </c>
      <c r="E7" s="8">
        <f>SUM(E8:E11)</f>
        <v>0</v>
      </c>
      <c r="F7" s="8">
        <f>SUM(F8:F11)</f>
        <v>8</v>
      </c>
      <c r="G7" s="8">
        <f>SUM(G8:G11)</f>
        <v>0</v>
      </c>
    </row>
    <row r="8" spans="1:10" s="3" customFormat="1" ht="39" customHeight="1" x14ac:dyDescent="0.25">
      <c r="A8" s="180" t="s">
        <v>147</v>
      </c>
      <c r="B8" s="181" t="s">
        <v>42</v>
      </c>
      <c r="C8" s="180"/>
      <c r="D8" s="180"/>
      <c r="E8" s="180"/>
      <c r="F8" s="180">
        <f>4+4</f>
        <v>8</v>
      </c>
      <c r="G8" s="180">
        <v>0</v>
      </c>
      <c r="H8" s="3" t="s">
        <v>1269</v>
      </c>
    </row>
    <row r="9" spans="1:10" s="3" customFormat="1" ht="33.75" customHeight="1" x14ac:dyDescent="0.25">
      <c r="A9" s="182" t="s">
        <v>147</v>
      </c>
      <c r="B9" s="183" t="s">
        <v>43</v>
      </c>
      <c r="C9" s="182">
        <f>COUNTIFS($E$12:$E$112,"I",$C$12:$C$112,"Đạt")</f>
        <v>0</v>
      </c>
      <c r="D9" s="182">
        <f>COUNTIFS($E$12:$E$122,"I",$D$12:$D$122,"Đạt")</f>
        <v>0</v>
      </c>
      <c r="E9" s="182">
        <f>COUNTIF($E$12:$E$122,"I")</f>
        <v>0</v>
      </c>
      <c r="F9" s="182">
        <f>SUMIF($E$12:$E$122,"I",$F$12:$F$122)</f>
        <v>0</v>
      </c>
      <c r="G9" s="182">
        <f>SUMIF($E$12:$E$122,"I",$G$12:$G$122)</f>
        <v>0</v>
      </c>
    </row>
    <row r="10" spans="1:10" s="3" customFormat="1" ht="33.75" customHeight="1" x14ac:dyDescent="0.25">
      <c r="A10" s="182" t="s">
        <v>147</v>
      </c>
      <c r="B10" s="183" t="s">
        <v>44</v>
      </c>
      <c r="C10" s="182">
        <f>COUNTIFS($E$12:$E$112,"II",$C$12:$C$112,"Đạt")</f>
        <v>0</v>
      </c>
      <c r="D10" s="182">
        <f>COUNTIFS($E$12:$E$122,"II",$D$12:$D$122,"Đạt")</f>
        <v>0</v>
      </c>
      <c r="E10" s="182">
        <f>COUNTIF($E$12:$E$122,"II")</f>
        <v>0</v>
      </c>
      <c r="F10" s="182">
        <f>SUMIF($E$12:$E$122,"II",$F$12:$F$122)</f>
        <v>0</v>
      </c>
      <c r="G10" s="182">
        <f>SUMIF($E$12:$E$122,"II",$G$12:$G$122)</f>
        <v>0</v>
      </c>
    </row>
    <row r="11" spans="1:10" s="3" customFormat="1" ht="33.75" customHeight="1" x14ac:dyDescent="0.25">
      <c r="A11" s="184" t="s">
        <v>147</v>
      </c>
      <c r="B11" s="185" t="s">
        <v>45</v>
      </c>
      <c r="C11" s="184">
        <f>COUNTIFS($E$12:$E$112,"III",$C$12:$C$112,"Đạt")</f>
        <v>0</v>
      </c>
      <c r="D11" s="184">
        <f>COUNTIFS($E$12:$E$122,"III",$D$12:$D$122,"Đạt")</f>
        <v>0</v>
      </c>
      <c r="E11" s="184">
        <f>COUNTIF($E$12:$E$122,"III")</f>
        <v>0</v>
      </c>
      <c r="F11" s="184">
        <f>SUMIF($E$12:$E$122,"III",$F$12:$F$122)</f>
        <v>0</v>
      </c>
      <c r="G11" s="184">
        <f>SUMIF($E$12:$E$122,"III",$G$12:$G$122)</f>
        <v>0</v>
      </c>
    </row>
    <row r="12" spans="1:10" ht="26.45" customHeight="1" x14ac:dyDescent="0.25">
      <c r="A12" s="8" t="s">
        <v>11</v>
      </c>
      <c r="B12" s="103" t="s">
        <v>1272</v>
      </c>
      <c r="C12" s="77"/>
      <c r="D12" s="77"/>
      <c r="E12" s="77"/>
      <c r="F12" s="77"/>
      <c r="G12" s="77"/>
    </row>
    <row r="13" spans="1:10" ht="26.45" customHeight="1" x14ac:dyDescent="0.25">
      <c r="A13" s="186"/>
      <c r="B13" s="187"/>
      <c r="C13" s="188"/>
      <c r="D13" s="188"/>
      <c r="E13" s="188"/>
      <c r="F13" s="188"/>
      <c r="G13" s="188"/>
    </row>
    <row r="14" spans="1:10" s="157" customFormat="1" ht="28.5" customHeight="1" x14ac:dyDescent="0.25">
      <c r="A14" s="164">
        <v>1</v>
      </c>
      <c r="B14" s="165" t="s">
        <v>48</v>
      </c>
      <c r="C14" s="166" t="e">
        <f>#REF!</f>
        <v>#REF!</v>
      </c>
      <c r="D14" s="167" t="e">
        <f>#REF!</f>
        <v>#REF!</v>
      </c>
      <c r="E14" s="167" t="e">
        <f>#REF!</f>
        <v>#REF!</v>
      </c>
      <c r="F14" s="166" t="e">
        <f>#REF!</f>
        <v>#REF!</v>
      </c>
      <c r="G14" s="166" t="e">
        <f>#REF!</f>
        <v>#REF!</v>
      </c>
      <c r="H14" s="159" t="e">
        <f>SUM(F14:F112)</f>
        <v>#REF!</v>
      </c>
      <c r="I14" s="159" t="e">
        <f>SUM(F14:F112)</f>
        <v>#REF!</v>
      </c>
      <c r="J14" s="159" t="e">
        <f>SUM(G14:G112)</f>
        <v>#REF!</v>
      </c>
    </row>
    <row r="15" spans="1:10" s="157" customFormat="1" ht="34.5" customHeight="1" x14ac:dyDescent="0.25">
      <c r="A15" s="168">
        <v>2</v>
      </c>
      <c r="B15" s="169" t="s">
        <v>49</v>
      </c>
      <c r="C15" s="170" t="e">
        <f>#REF!</f>
        <v>#REF!</v>
      </c>
      <c r="D15" s="162" t="e">
        <f>#REF!</f>
        <v>#REF!</v>
      </c>
      <c r="E15" s="162" t="e">
        <f>#REF!</f>
        <v>#REF!</v>
      </c>
      <c r="F15" s="170" t="e">
        <f>#REF!</f>
        <v>#REF!</v>
      </c>
      <c r="G15" s="170" t="e">
        <f>#REF!</f>
        <v>#REF!</v>
      </c>
    </row>
    <row r="16" spans="1:10" s="157" customFormat="1" ht="34.5" customHeight="1" x14ac:dyDescent="0.25">
      <c r="A16" s="168">
        <v>3</v>
      </c>
      <c r="B16" s="169" t="s">
        <v>50</v>
      </c>
      <c r="C16" s="170" t="e">
        <f>#REF!</f>
        <v>#REF!</v>
      </c>
      <c r="D16" s="162" t="e">
        <f>#REF!</f>
        <v>#REF!</v>
      </c>
      <c r="E16" s="162" t="e">
        <f>#REF!</f>
        <v>#REF!</v>
      </c>
      <c r="F16" s="170" t="e">
        <f>#REF!</f>
        <v>#REF!</v>
      </c>
      <c r="G16" s="170" t="e">
        <f>#REF!</f>
        <v>#REF!</v>
      </c>
    </row>
    <row r="17" spans="1:7" s="157" customFormat="1" ht="34.5" customHeight="1" x14ac:dyDescent="0.25">
      <c r="A17" s="168">
        <v>4</v>
      </c>
      <c r="B17" s="169" t="s">
        <v>51</v>
      </c>
      <c r="C17" s="170" t="e">
        <f>#REF!</f>
        <v>#REF!</v>
      </c>
      <c r="D17" s="162" t="e">
        <f>#REF!</f>
        <v>#REF!</v>
      </c>
      <c r="E17" s="162" t="e">
        <f>#REF!</f>
        <v>#REF!</v>
      </c>
      <c r="F17" s="170" t="e">
        <f>#REF!</f>
        <v>#REF!</v>
      </c>
      <c r="G17" s="170" t="e">
        <f>#REF!</f>
        <v>#REF!</v>
      </c>
    </row>
    <row r="18" spans="1:7" s="157" customFormat="1" ht="34.5" customHeight="1" x14ac:dyDescent="0.25">
      <c r="A18" s="168">
        <v>5</v>
      </c>
      <c r="B18" s="171" t="s">
        <v>52</v>
      </c>
      <c r="C18" s="170" t="e">
        <f>#REF!</f>
        <v>#REF!</v>
      </c>
      <c r="D18" s="162" t="e">
        <f>#REF!</f>
        <v>#REF!</v>
      </c>
      <c r="E18" s="162" t="e">
        <f>#REF!</f>
        <v>#REF!</v>
      </c>
      <c r="F18" s="170" t="e">
        <f>#REF!</f>
        <v>#REF!</v>
      </c>
      <c r="G18" s="170" t="e">
        <f>#REF!</f>
        <v>#REF!</v>
      </c>
    </row>
    <row r="19" spans="1:7" s="157" customFormat="1" ht="34.5" customHeight="1" x14ac:dyDescent="0.25">
      <c r="A19" s="168">
        <v>6</v>
      </c>
      <c r="B19" s="171" t="s">
        <v>53</v>
      </c>
      <c r="C19" s="170" t="e">
        <f>#REF!</f>
        <v>#REF!</v>
      </c>
      <c r="D19" s="162" t="e">
        <f>#REF!</f>
        <v>#REF!</v>
      </c>
      <c r="E19" s="162" t="e">
        <f>#REF!</f>
        <v>#REF!</v>
      </c>
      <c r="F19" s="172" t="e">
        <f>#REF!</f>
        <v>#REF!</v>
      </c>
      <c r="G19" s="172" t="e">
        <f>#REF!</f>
        <v>#REF!</v>
      </c>
    </row>
    <row r="20" spans="1:7" s="157" customFormat="1" ht="34.5" customHeight="1" x14ac:dyDescent="0.25">
      <c r="A20" s="168">
        <v>7</v>
      </c>
      <c r="B20" s="171" t="s">
        <v>54</v>
      </c>
      <c r="C20" s="170" t="e">
        <f>#REF!</f>
        <v>#REF!</v>
      </c>
      <c r="D20" s="162" t="e">
        <f>#REF!</f>
        <v>#REF!</v>
      </c>
      <c r="E20" s="162" t="e">
        <f>#REF!</f>
        <v>#REF!</v>
      </c>
      <c r="F20" s="172" t="e">
        <f>#REF!</f>
        <v>#REF!</v>
      </c>
      <c r="G20" s="172" t="e">
        <f>#REF!</f>
        <v>#REF!</v>
      </c>
    </row>
    <row r="21" spans="1:7" s="157" customFormat="1" ht="34.5" customHeight="1" x14ac:dyDescent="0.25">
      <c r="A21" s="168">
        <v>8</v>
      </c>
      <c r="B21" s="171" t="s">
        <v>55</v>
      </c>
      <c r="C21" s="170" t="e">
        <f>#REF!</f>
        <v>#REF!</v>
      </c>
      <c r="D21" s="162" t="e">
        <f>#REF!</f>
        <v>#REF!</v>
      </c>
      <c r="E21" s="162" t="e">
        <f>#REF!</f>
        <v>#REF!</v>
      </c>
      <c r="F21" s="172" t="e">
        <f>#REF!</f>
        <v>#REF!</v>
      </c>
      <c r="G21" s="172" t="e">
        <f>#REF!</f>
        <v>#REF!</v>
      </c>
    </row>
    <row r="22" spans="1:7" s="157" customFormat="1" ht="34.5" customHeight="1" x14ac:dyDescent="0.25">
      <c r="A22" s="168">
        <v>9</v>
      </c>
      <c r="B22" s="171" t="s">
        <v>56</v>
      </c>
      <c r="C22" s="170" t="e">
        <f>#REF!</f>
        <v>#REF!</v>
      </c>
      <c r="D22" s="162" t="e">
        <f>#REF!</f>
        <v>#REF!</v>
      </c>
      <c r="E22" s="162" t="e">
        <f>#REF!</f>
        <v>#REF!</v>
      </c>
      <c r="F22" s="172" t="e">
        <f>#REF!</f>
        <v>#REF!</v>
      </c>
      <c r="G22" s="172" t="e">
        <f>#REF!</f>
        <v>#REF!</v>
      </c>
    </row>
    <row r="23" spans="1:7" s="157" customFormat="1" ht="34.5" customHeight="1" x14ac:dyDescent="0.25">
      <c r="A23" s="168">
        <v>10</v>
      </c>
      <c r="B23" s="171" t="s">
        <v>57</v>
      </c>
      <c r="C23" s="170" t="e">
        <f>#REF!</f>
        <v>#REF!</v>
      </c>
      <c r="D23" s="162" t="e">
        <f>#REF!</f>
        <v>#REF!</v>
      </c>
      <c r="E23" s="162" t="e">
        <f>#REF!</f>
        <v>#REF!</v>
      </c>
      <c r="F23" s="172" t="e">
        <f>#REF!</f>
        <v>#REF!</v>
      </c>
      <c r="G23" s="172" t="e">
        <f>#REF!</f>
        <v>#REF!</v>
      </c>
    </row>
    <row r="24" spans="1:7" s="157" customFormat="1" ht="34.5" customHeight="1" x14ac:dyDescent="0.25">
      <c r="A24" s="168">
        <v>11</v>
      </c>
      <c r="B24" s="171" t="s">
        <v>58</v>
      </c>
      <c r="C24" s="170" t="e">
        <f>#REF!</f>
        <v>#REF!</v>
      </c>
      <c r="D24" s="162" t="e">
        <f>#REF!</f>
        <v>#REF!</v>
      </c>
      <c r="E24" s="162" t="e">
        <f>#REF!</f>
        <v>#REF!</v>
      </c>
      <c r="F24" s="172" t="e">
        <f>#REF!</f>
        <v>#REF!</v>
      </c>
      <c r="G24" s="172" t="e">
        <f>#REF!</f>
        <v>#REF!</v>
      </c>
    </row>
    <row r="25" spans="1:7" s="157" customFormat="1" ht="34.5" customHeight="1" x14ac:dyDescent="0.25">
      <c r="A25" s="168">
        <v>12</v>
      </c>
      <c r="B25" s="171" t="s">
        <v>59</v>
      </c>
      <c r="C25" s="170" t="e">
        <f>#REF!</f>
        <v>#REF!</v>
      </c>
      <c r="D25" s="162" t="e">
        <f>#REF!</f>
        <v>#REF!</v>
      </c>
      <c r="E25" s="162" t="e">
        <f>#REF!</f>
        <v>#REF!</v>
      </c>
      <c r="F25" s="172" t="e">
        <f>#REF!</f>
        <v>#REF!</v>
      </c>
      <c r="G25" s="172" t="e">
        <f>#REF!</f>
        <v>#REF!</v>
      </c>
    </row>
    <row r="26" spans="1:7" s="157" customFormat="1" ht="34.5" customHeight="1" x14ac:dyDescent="0.25">
      <c r="A26" s="168">
        <v>13</v>
      </c>
      <c r="B26" s="171" t="s">
        <v>60</v>
      </c>
      <c r="C26" s="170" t="e">
        <f>#REF!</f>
        <v>#REF!</v>
      </c>
      <c r="D26" s="162" t="e">
        <f>#REF!</f>
        <v>#REF!</v>
      </c>
      <c r="E26" s="162" t="e">
        <f>#REF!</f>
        <v>#REF!</v>
      </c>
      <c r="F26" s="172" t="e">
        <f>#REF!</f>
        <v>#REF!</v>
      </c>
      <c r="G26" s="172" t="e">
        <f>#REF!</f>
        <v>#REF!</v>
      </c>
    </row>
    <row r="27" spans="1:7" s="157" customFormat="1" ht="34.5" customHeight="1" x14ac:dyDescent="0.25">
      <c r="A27" s="168">
        <v>14</v>
      </c>
      <c r="B27" s="171" t="s">
        <v>61</v>
      </c>
      <c r="C27" s="170" t="e">
        <f>#REF!</f>
        <v>#REF!</v>
      </c>
      <c r="D27" s="162" t="e">
        <f>#REF!</f>
        <v>#REF!</v>
      </c>
      <c r="E27" s="162" t="e">
        <f>#REF!</f>
        <v>#REF!</v>
      </c>
      <c r="F27" s="172" t="e">
        <f>#REF!</f>
        <v>#REF!</v>
      </c>
      <c r="G27" s="172" t="e">
        <f>#REF!</f>
        <v>#REF!</v>
      </c>
    </row>
    <row r="28" spans="1:7" s="157" customFormat="1" ht="34.5" customHeight="1" x14ac:dyDescent="0.25">
      <c r="A28" s="168">
        <v>15</v>
      </c>
      <c r="B28" s="171" t="s">
        <v>62</v>
      </c>
      <c r="C28" s="170" t="e">
        <f>#REF!</f>
        <v>#REF!</v>
      </c>
      <c r="D28" s="162" t="e">
        <f>#REF!</f>
        <v>#REF!</v>
      </c>
      <c r="E28" s="162" t="e">
        <f>#REF!</f>
        <v>#REF!</v>
      </c>
      <c r="F28" s="172" t="e">
        <f>#REF!</f>
        <v>#REF!</v>
      </c>
      <c r="G28" s="172" t="e">
        <f>#REF!</f>
        <v>#REF!</v>
      </c>
    </row>
    <row r="29" spans="1:7" s="157" customFormat="1" ht="34.5" customHeight="1" x14ac:dyDescent="0.25">
      <c r="A29" s="168">
        <v>16</v>
      </c>
      <c r="B29" s="171" t="s">
        <v>63</v>
      </c>
      <c r="C29" s="170" t="e">
        <f>#REF!</f>
        <v>#REF!</v>
      </c>
      <c r="D29" s="162" t="e">
        <f>#REF!</f>
        <v>#REF!</v>
      </c>
      <c r="E29" s="162" t="e">
        <f>#REF!</f>
        <v>#REF!</v>
      </c>
      <c r="F29" s="172" t="e">
        <f>#REF!</f>
        <v>#REF!</v>
      </c>
      <c r="G29" s="172" t="e">
        <f>#REF!</f>
        <v>#REF!</v>
      </c>
    </row>
    <row r="30" spans="1:7" s="157" customFormat="1" ht="34.5" customHeight="1" x14ac:dyDescent="0.25">
      <c r="A30" s="168">
        <v>17</v>
      </c>
      <c r="B30" s="171" t="s">
        <v>64</v>
      </c>
      <c r="C30" s="170" t="e">
        <f>#REF!</f>
        <v>#REF!</v>
      </c>
      <c r="D30" s="162" t="e">
        <f>#REF!</f>
        <v>#REF!</v>
      </c>
      <c r="E30" s="162" t="e">
        <f>#REF!</f>
        <v>#REF!</v>
      </c>
      <c r="F30" s="172" t="e">
        <f>#REF!</f>
        <v>#REF!</v>
      </c>
      <c r="G30" s="172" t="e">
        <f>#REF!</f>
        <v>#REF!</v>
      </c>
    </row>
    <row r="31" spans="1:7" s="157" customFormat="1" ht="34.5" customHeight="1" x14ac:dyDescent="0.25">
      <c r="A31" s="168">
        <v>18</v>
      </c>
      <c r="B31" s="171" t="s">
        <v>65</v>
      </c>
      <c r="C31" s="170" t="e">
        <f>#REF!</f>
        <v>#REF!</v>
      </c>
      <c r="D31" s="162" t="e">
        <f>#REF!</f>
        <v>#REF!</v>
      </c>
      <c r="E31" s="162" t="e">
        <f>#REF!</f>
        <v>#REF!</v>
      </c>
      <c r="F31" s="172" t="e">
        <f>#REF!</f>
        <v>#REF!</v>
      </c>
      <c r="G31" s="172" t="e">
        <f>#REF!</f>
        <v>#REF!</v>
      </c>
    </row>
    <row r="32" spans="1:7" s="157" customFormat="1" ht="34.5" customHeight="1" x14ac:dyDescent="0.25">
      <c r="A32" s="168">
        <v>19</v>
      </c>
      <c r="B32" s="171" t="s">
        <v>66</v>
      </c>
      <c r="C32" s="170" t="e">
        <f>#REF!</f>
        <v>#REF!</v>
      </c>
      <c r="D32" s="162" t="e">
        <f>#REF!</f>
        <v>#REF!</v>
      </c>
      <c r="E32" s="162" t="e">
        <f>#REF!</f>
        <v>#REF!</v>
      </c>
      <c r="F32" s="172" t="e">
        <f>#REF!</f>
        <v>#REF!</v>
      </c>
      <c r="G32" s="172" t="e">
        <f>#REF!</f>
        <v>#REF!</v>
      </c>
    </row>
    <row r="33" spans="1:7" s="157" customFormat="1" ht="34.5" customHeight="1" x14ac:dyDescent="0.25">
      <c r="A33" s="168">
        <v>20</v>
      </c>
      <c r="B33" s="171" t="s">
        <v>67</v>
      </c>
      <c r="C33" s="170" t="e">
        <f>#REF!</f>
        <v>#REF!</v>
      </c>
      <c r="D33" s="162" t="e">
        <f>#REF!</f>
        <v>#REF!</v>
      </c>
      <c r="E33" s="162" t="e">
        <f>#REF!</f>
        <v>#REF!</v>
      </c>
      <c r="F33" s="172" t="e">
        <f>#REF!</f>
        <v>#REF!</v>
      </c>
      <c r="G33" s="172" t="e">
        <f>#REF!</f>
        <v>#REF!</v>
      </c>
    </row>
    <row r="34" spans="1:7" s="157" customFormat="1" ht="34.5" customHeight="1" x14ac:dyDescent="0.25">
      <c r="A34" s="168">
        <v>21</v>
      </c>
      <c r="B34" s="171" t="s">
        <v>68</v>
      </c>
      <c r="C34" s="170" t="e">
        <f>#REF!</f>
        <v>#REF!</v>
      </c>
      <c r="D34" s="162" t="e">
        <f>#REF!</f>
        <v>#REF!</v>
      </c>
      <c r="E34" s="162" t="e">
        <f>#REF!</f>
        <v>#REF!</v>
      </c>
      <c r="F34" s="172" t="e">
        <f>#REF!</f>
        <v>#REF!</v>
      </c>
      <c r="G34" s="172" t="e">
        <f>#REF!</f>
        <v>#REF!</v>
      </c>
    </row>
    <row r="35" spans="1:7" s="157" customFormat="1" ht="34.5" customHeight="1" x14ac:dyDescent="0.25">
      <c r="A35" s="168">
        <v>22</v>
      </c>
      <c r="B35" s="171" t="s">
        <v>69</v>
      </c>
      <c r="C35" s="170" t="e">
        <f>#REF!</f>
        <v>#REF!</v>
      </c>
      <c r="D35" s="162" t="e">
        <f>#REF!</f>
        <v>#REF!</v>
      </c>
      <c r="E35" s="162" t="e">
        <f>#REF!</f>
        <v>#REF!</v>
      </c>
      <c r="F35" s="172" t="e">
        <f>#REF!</f>
        <v>#REF!</v>
      </c>
      <c r="G35" s="172" t="e">
        <f>#REF!</f>
        <v>#REF!</v>
      </c>
    </row>
    <row r="36" spans="1:7" s="157" customFormat="1" ht="34.5" customHeight="1" x14ac:dyDescent="0.25">
      <c r="A36" s="168">
        <v>23</v>
      </c>
      <c r="B36" s="171" t="s">
        <v>70</v>
      </c>
      <c r="C36" s="170" t="e">
        <f>#REF!</f>
        <v>#REF!</v>
      </c>
      <c r="D36" s="162" t="e">
        <f>#REF!</f>
        <v>#REF!</v>
      </c>
      <c r="E36" s="162" t="e">
        <f>#REF!</f>
        <v>#REF!</v>
      </c>
      <c r="F36" s="172" t="e">
        <f>#REF!</f>
        <v>#REF!</v>
      </c>
      <c r="G36" s="172" t="e">
        <f>#REF!</f>
        <v>#REF!</v>
      </c>
    </row>
    <row r="37" spans="1:7" s="157" customFormat="1" ht="34.5" customHeight="1" x14ac:dyDescent="0.25">
      <c r="A37" s="168">
        <v>24</v>
      </c>
      <c r="B37" s="171" t="s">
        <v>71</v>
      </c>
      <c r="C37" s="170" t="e">
        <f>#REF!</f>
        <v>#REF!</v>
      </c>
      <c r="D37" s="162" t="e">
        <f>#REF!</f>
        <v>#REF!</v>
      </c>
      <c r="E37" s="162" t="e">
        <f>#REF!</f>
        <v>#REF!</v>
      </c>
      <c r="F37" s="172" t="e">
        <f>#REF!</f>
        <v>#REF!</v>
      </c>
      <c r="G37" s="172" t="e">
        <f>#REF!</f>
        <v>#REF!</v>
      </c>
    </row>
    <row r="38" spans="1:7" s="157" customFormat="1" ht="34.5" customHeight="1" x14ac:dyDescent="0.25">
      <c r="A38" s="168">
        <v>25</v>
      </c>
      <c r="B38" s="171" t="s">
        <v>72</v>
      </c>
      <c r="C38" s="170" t="e">
        <f>#REF!</f>
        <v>#REF!</v>
      </c>
      <c r="D38" s="162" t="e">
        <f>#REF!</f>
        <v>#REF!</v>
      </c>
      <c r="E38" s="162" t="e">
        <f>#REF!</f>
        <v>#REF!</v>
      </c>
      <c r="F38" s="172" t="e">
        <f>#REF!</f>
        <v>#REF!</v>
      </c>
      <c r="G38" s="172" t="e">
        <f>#REF!</f>
        <v>#REF!</v>
      </c>
    </row>
    <row r="39" spans="1:7" s="157" customFormat="1" ht="34.5" customHeight="1" x14ac:dyDescent="0.25">
      <c r="A39" s="168">
        <v>26</v>
      </c>
      <c r="B39" s="171" t="s">
        <v>73</v>
      </c>
      <c r="C39" s="170" t="e">
        <f>#REF!</f>
        <v>#REF!</v>
      </c>
      <c r="D39" s="162" t="e">
        <f>#REF!</f>
        <v>#REF!</v>
      </c>
      <c r="E39" s="162" t="e">
        <f>#REF!</f>
        <v>#REF!</v>
      </c>
      <c r="F39" s="172" t="e">
        <f>#REF!</f>
        <v>#REF!</v>
      </c>
      <c r="G39" s="172" t="e">
        <f>#REF!</f>
        <v>#REF!</v>
      </c>
    </row>
    <row r="40" spans="1:7" s="157" customFormat="1" ht="34.5" customHeight="1" x14ac:dyDescent="0.25">
      <c r="A40" s="168">
        <v>27</v>
      </c>
      <c r="B40" s="171" t="s">
        <v>146</v>
      </c>
      <c r="C40" s="170" t="e">
        <f>#REF!</f>
        <v>#REF!</v>
      </c>
      <c r="D40" s="162" t="e">
        <f>#REF!</f>
        <v>#REF!</v>
      </c>
      <c r="E40" s="162" t="e">
        <f>#REF!</f>
        <v>#REF!</v>
      </c>
      <c r="F40" s="172" t="e">
        <f>#REF!</f>
        <v>#REF!</v>
      </c>
      <c r="G40" s="172" t="e">
        <f>#REF!</f>
        <v>#REF!</v>
      </c>
    </row>
    <row r="41" spans="1:7" s="157" customFormat="1" ht="34.5" customHeight="1" x14ac:dyDescent="0.25">
      <c r="A41" s="168">
        <v>28</v>
      </c>
      <c r="B41" s="171" t="s">
        <v>74</v>
      </c>
      <c r="C41" s="170" t="e">
        <f>#REF!</f>
        <v>#REF!</v>
      </c>
      <c r="D41" s="162" t="e">
        <f>#REF!</f>
        <v>#REF!</v>
      </c>
      <c r="E41" s="162" t="e">
        <f>#REF!</f>
        <v>#REF!</v>
      </c>
      <c r="F41" s="172" t="e">
        <f>#REF!</f>
        <v>#REF!</v>
      </c>
      <c r="G41" s="172" t="e">
        <f>#REF!</f>
        <v>#REF!</v>
      </c>
    </row>
    <row r="42" spans="1:7" s="157" customFormat="1" ht="34.5" customHeight="1" x14ac:dyDescent="0.25">
      <c r="A42" s="168">
        <v>29</v>
      </c>
      <c r="B42" s="171" t="s">
        <v>75</v>
      </c>
      <c r="C42" s="170" t="e">
        <f>#REF!</f>
        <v>#REF!</v>
      </c>
      <c r="D42" s="162" t="e">
        <f>#REF!</f>
        <v>#REF!</v>
      </c>
      <c r="E42" s="162" t="e">
        <f>#REF!</f>
        <v>#REF!</v>
      </c>
      <c r="F42" s="172" t="e">
        <f>#REF!</f>
        <v>#REF!</v>
      </c>
      <c r="G42" s="172" t="e">
        <f>#REF!</f>
        <v>#REF!</v>
      </c>
    </row>
    <row r="43" spans="1:7" s="157" customFormat="1" ht="34.5" customHeight="1" x14ac:dyDescent="0.25">
      <c r="A43" s="168">
        <v>30</v>
      </c>
      <c r="B43" s="171" t="s">
        <v>76</v>
      </c>
      <c r="C43" s="170" t="e">
        <f>#REF!</f>
        <v>#REF!</v>
      </c>
      <c r="D43" s="162" t="e">
        <f>#REF!</f>
        <v>#REF!</v>
      </c>
      <c r="E43" s="162" t="e">
        <f>#REF!</f>
        <v>#REF!</v>
      </c>
      <c r="F43" s="172" t="e">
        <f>#REF!</f>
        <v>#REF!</v>
      </c>
      <c r="G43" s="172" t="e">
        <f>#REF!</f>
        <v>#REF!</v>
      </c>
    </row>
    <row r="44" spans="1:7" s="157" customFormat="1" ht="34.5" customHeight="1" x14ac:dyDescent="0.25">
      <c r="A44" s="168">
        <v>31</v>
      </c>
      <c r="B44" s="171" t="s">
        <v>77</v>
      </c>
      <c r="C44" s="170" t="e">
        <f>#REF!</f>
        <v>#REF!</v>
      </c>
      <c r="D44" s="162" t="e">
        <f>#REF!</f>
        <v>#REF!</v>
      </c>
      <c r="E44" s="162" t="e">
        <f>#REF!</f>
        <v>#REF!</v>
      </c>
      <c r="F44" s="172" t="e">
        <f>#REF!</f>
        <v>#REF!</v>
      </c>
      <c r="G44" s="172" t="e">
        <f>#REF!</f>
        <v>#REF!</v>
      </c>
    </row>
    <row r="45" spans="1:7" s="157" customFormat="1" ht="34.5" customHeight="1" x14ac:dyDescent="0.25">
      <c r="A45" s="168">
        <v>32</v>
      </c>
      <c r="B45" s="171" t="s">
        <v>78</v>
      </c>
      <c r="C45" s="170" t="e">
        <f>#REF!</f>
        <v>#REF!</v>
      </c>
      <c r="D45" s="162" t="e">
        <f>#REF!</f>
        <v>#REF!</v>
      </c>
      <c r="E45" s="162" t="e">
        <f>#REF!</f>
        <v>#REF!</v>
      </c>
      <c r="F45" s="172" t="e">
        <f>#REF!</f>
        <v>#REF!</v>
      </c>
      <c r="G45" s="172" t="e">
        <f>#REF!</f>
        <v>#REF!</v>
      </c>
    </row>
    <row r="46" spans="1:7" s="157" customFormat="1" ht="34.5" customHeight="1" x14ac:dyDescent="0.25">
      <c r="A46" s="168">
        <v>33</v>
      </c>
      <c r="B46" s="171" t="s">
        <v>79</v>
      </c>
      <c r="C46" s="170" t="e">
        <f>#REF!</f>
        <v>#REF!</v>
      </c>
      <c r="D46" s="162" t="e">
        <f>#REF!</f>
        <v>#REF!</v>
      </c>
      <c r="E46" s="162" t="e">
        <f>#REF!</f>
        <v>#REF!</v>
      </c>
      <c r="F46" s="172" t="e">
        <f>#REF!</f>
        <v>#REF!</v>
      </c>
      <c r="G46" s="172" t="e">
        <f>#REF!</f>
        <v>#REF!</v>
      </c>
    </row>
    <row r="47" spans="1:7" s="157" customFormat="1" ht="34.5" customHeight="1" x14ac:dyDescent="0.25">
      <c r="A47" s="168">
        <v>34</v>
      </c>
      <c r="B47" s="171" t="s">
        <v>80</v>
      </c>
      <c r="C47" s="170" t="e">
        <f>#REF!</f>
        <v>#REF!</v>
      </c>
      <c r="D47" s="162" t="e">
        <f>#REF!</f>
        <v>#REF!</v>
      </c>
      <c r="E47" s="162" t="e">
        <f>#REF!</f>
        <v>#REF!</v>
      </c>
      <c r="F47" s="172" t="e">
        <f>#REF!</f>
        <v>#REF!</v>
      </c>
      <c r="G47" s="172" t="e">
        <f>#REF!</f>
        <v>#REF!</v>
      </c>
    </row>
    <row r="48" spans="1:7" s="157" customFormat="1" ht="34.5" customHeight="1" x14ac:dyDescent="0.25">
      <c r="A48" s="168">
        <v>35</v>
      </c>
      <c r="B48" s="171" t="s">
        <v>81</v>
      </c>
      <c r="C48" s="170" t="e">
        <f>#REF!</f>
        <v>#REF!</v>
      </c>
      <c r="D48" s="162" t="e">
        <f>#REF!</f>
        <v>#REF!</v>
      </c>
      <c r="E48" s="162" t="e">
        <f>#REF!</f>
        <v>#REF!</v>
      </c>
      <c r="F48" s="172" t="e">
        <f>#REF!</f>
        <v>#REF!</v>
      </c>
      <c r="G48" s="172" t="e">
        <f>#REF!</f>
        <v>#REF!</v>
      </c>
    </row>
    <row r="49" spans="1:8" s="157" customFormat="1" ht="34.5" customHeight="1" x14ac:dyDescent="0.25">
      <c r="A49" s="168">
        <v>36</v>
      </c>
      <c r="B49" s="171" t="s">
        <v>82</v>
      </c>
      <c r="C49" s="170" t="e">
        <f>#REF!</f>
        <v>#REF!</v>
      </c>
      <c r="D49" s="162" t="e">
        <f>#REF!</f>
        <v>#REF!</v>
      </c>
      <c r="E49" s="162" t="e">
        <f>#REF!</f>
        <v>#REF!</v>
      </c>
      <c r="F49" s="172" t="e">
        <f>#REF!</f>
        <v>#REF!</v>
      </c>
      <c r="G49" s="172" t="e">
        <f>#REF!</f>
        <v>#REF!</v>
      </c>
    </row>
    <row r="50" spans="1:8" s="157" customFormat="1" ht="34.5" customHeight="1" x14ac:dyDescent="0.25">
      <c r="A50" s="168">
        <v>37</v>
      </c>
      <c r="B50" s="171" t="s">
        <v>83</v>
      </c>
      <c r="C50" s="170" t="e">
        <f>#REF!</f>
        <v>#REF!</v>
      </c>
      <c r="D50" s="162" t="e">
        <f>#REF!</f>
        <v>#REF!</v>
      </c>
      <c r="E50" s="162" t="e">
        <f>#REF!</f>
        <v>#REF!</v>
      </c>
      <c r="F50" s="172" t="e">
        <f>#REF!</f>
        <v>#REF!</v>
      </c>
      <c r="G50" s="172" t="e">
        <f>#REF!</f>
        <v>#REF!</v>
      </c>
    </row>
    <row r="51" spans="1:8" s="157" customFormat="1" ht="34.5" customHeight="1" x14ac:dyDescent="0.25">
      <c r="A51" s="168">
        <v>38</v>
      </c>
      <c r="B51" s="171" t="s">
        <v>84</v>
      </c>
      <c r="C51" s="170" t="e">
        <f>#REF!</f>
        <v>#REF!</v>
      </c>
      <c r="D51" s="162" t="e">
        <f>#REF!</f>
        <v>#REF!</v>
      </c>
      <c r="E51" s="162" t="e">
        <f>#REF!</f>
        <v>#REF!</v>
      </c>
      <c r="F51" s="172" t="e">
        <f>#REF!</f>
        <v>#REF!</v>
      </c>
      <c r="G51" s="172" t="e">
        <f>#REF!</f>
        <v>#REF!</v>
      </c>
    </row>
    <row r="52" spans="1:8" s="157" customFormat="1" ht="34.5" customHeight="1" x14ac:dyDescent="0.25">
      <c r="A52" s="168">
        <v>39</v>
      </c>
      <c r="B52" s="171" t="s">
        <v>85</v>
      </c>
      <c r="C52" s="170" t="e">
        <f>#REF!</f>
        <v>#REF!</v>
      </c>
      <c r="D52" s="162" t="e">
        <f>#REF!</f>
        <v>#REF!</v>
      </c>
      <c r="E52" s="162" t="e">
        <f>#REF!</f>
        <v>#REF!</v>
      </c>
      <c r="F52" s="172" t="e">
        <f>#REF!</f>
        <v>#REF!</v>
      </c>
      <c r="G52" s="172" t="e">
        <f>#REF!</f>
        <v>#REF!</v>
      </c>
    </row>
    <row r="53" spans="1:8" s="157" customFormat="1" ht="34.5" customHeight="1" x14ac:dyDescent="0.25">
      <c r="A53" s="168">
        <v>40</v>
      </c>
      <c r="B53" s="171" t="s">
        <v>86</v>
      </c>
      <c r="C53" s="170" t="e">
        <f>#REF!</f>
        <v>#REF!</v>
      </c>
      <c r="D53" s="162" t="e">
        <f>#REF!</f>
        <v>#REF!</v>
      </c>
      <c r="E53" s="162" t="e">
        <f>#REF!</f>
        <v>#REF!</v>
      </c>
      <c r="F53" s="172" t="e">
        <f>#REF!</f>
        <v>#REF!</v>
      </c>
      <c r="G53" s="172" t="e">
        <f>#REF!</f>
        <v>#REF!</v>
      </c>
    </row>
    <row r="54" spans="1:8" s="157" customFormat="1" ht="34.5" customHeight="1" x14ac:dyDescent="0.25">
      <c r="A54" s="168">
        <v>41</v>
      </c>
      <c r="B54" s="171" t="s">
        <v>87</v>
      </c>
      <c r="C54" s="170" t="e">
        <f>#REF!</f>
        <v>#REF!</v>
      </c>
      <c r="D54" s="162" t="e">
        <f>#REF!</f>
        <v>#REF!</v>
      </c>
      <c r="E54" s="162" t="e">
        <f>#REF!</f>
        <v>#REF!</v>
      </c>
      <c r="F54" s="172" t="e">
        <f>#REF!</f>
        <v>#REF!</v>
      </c>
      <c r="G54" s="172" t="e">
        <f>#REF!</f>
        <v>#REF!</v>
      </c>
    </row>
    <row r="55" spans="1:8" s="16" customFormat="1" ht="34.5" customHeight="1" x14ac:dyDescent="0.25">
      <c r="A55" s="173">
        <v>42</v>
      </c>
      <c r="B55" s="174" t="s">
        <v>88</v>
      </c>
      <c r="C55" s="170" t="e">
        <f>#REF!</f>
        <v>#REF!</v>
      </c>
      <c r="D55" s="162" t="e">
        <f>#REF!</f>
        <v>#REF!</v>
      </c>
      <c r="E55" s="162" t="e">
        <f>#REF!</f>
        <v>#REF!</v>
      </c>
      <c r="F55" s="175" t="e">
        <f>#REF!</f>
        <v>#REF!</v>
      </c>
      <c r="G55" s="175" t="e">
        <f>#REF!</f>
        <v>#REF!</v>
      </c>
    </row>
    <row r="56" spans="1:8" s="157" customFormat="1" ht="34.5" customHeight="1" x14ac:dyDescent="0.25">
      <c r="A56" s="168">
        <v>43</v>
      </c>
      <c r="B56" s="171" t="s">
        <v>89</v>
      </c>
      <c r="C56" s="170" t="e">
        <f>#REF!</f>
        <v>#REF!</v>
      </c>
      <c r="D56" s="162" t="e">
        <f>#REF!</f>
        <v>#REF!</v>
      </c>
      <c r="E56" s="162" t="e">
        <f>#REF!</f>
        <v>#REF!</v>
      </c>
      <c r="F56" s="172" t="e">
        <f>#REF!</f>
        <v>#REF!</v>
      </c>
      <c r="G56" s="172" t="e">
        <f>#REF!</f>
        <v>#REF!</v>
      </c>
      <c r="H56" s="157" t="s">
        <v>460</v>
      </c>
    </row>
    <row r="57" spans="1:8" s="157" customFormat="1" ht="34.5" customHeight="1" x14ac:dyDescent="0.25">
      <c r="A57" s="168">
        <v>44</v>
      </c>
      <c r="B57" s="171" t="s">
        <v>90</v>
      </c>
      <c r="C57" s="170" t="e">
        <f>#REF!</f>
        <v>#REF!</v>
      </c>
      <c r="D57" s="162" t="e">
        <f>#REF!</f>
        <v>#REF!</v>
      </c>
      <c r="E57" s="162" t="e">
        <f>#REF!</f>
        <v>#REF!</v>
      </c>
      <c r="F57" s="172" t="e">
        <f>#REF!</f>
        <v>#REF!</v>
      </c>
      <c r="G57" s="172" t="e">
        <f>#REF!</f>
        <v>#REF!</v>
      </c>
      <c r="H57" s="157" t="s">
        <v>460</v>
      </c>
    </row>
    <row r="58" spans="1:8" s="157" customFormat="1" ht="34.5" customHeight="1" x14ac:dyDescent="0.25">
      <c r="A58" s="168">
        <v>45</v>
      </c>
      <c r="B58" s="171" t="s">
        <v>91</v>
      </c>
      <c r="C58" s="170" t="e">
        <f>#REF!</f>
        <v>#REF!</v>
      </c>
      <c r="D58" s="162" t="e">
        <f>#REF!</f>
        <v>#REF!</v>
      </c>
      <c r="E58" s="162" t="e">
        <f>#REF!</f>
        <v>#REF!</v>
      </c>
      <c r="F58" s="172" t="e">
        <f>#REF!</f>
        <v>#REF!</v>
      </c>
      <c r="G58" s="172">
        <v>0</v>
      </c>
      <c r="H58" s="157" t="s">
        <v>460</v>
      </c>
    </row>
    <row r="59" spans="1:8" s="157" customFormat="1" ht="34.5" customHeight="1" x14ac:dyDescent="0.25">
      <c r="A59" s="168">
        <v>46</v>
      </c>
      <c r="B59" s="171" t="s">
        <v>92</v>
      </c>
      <c r="C59" s="170" t="e">
        <f>#REF!</f>
        <v>#REF!</v>
      </c>
      <c r="D59" s="162" t="e">
        <f>#REF!</f>
        <v>#REF!</v>
      </c>
      <c r="E59" s="162" t="e">
        <f>#REF!</f>
        <v>#REF!</v>
      </c>
      <c r="F59" s="172" t="e">
        <f>#REF!</f>
        <v>#REF!</v>
      </c>
      <c r="G59" s="172">
        <v>0</v>
      </c>
      <c r="H59" s="157" t="s">
        <v>460</v>
      </c>
    </row>
    <row r="60" spans="1:8" s="157" customFormat="1" ht="34.5" customHeight="1" x14ac:dyDescent="0.25">
      <c r="A60" s="168">
        <v>47</v>
      </c>
      <c r="B60" s="171" t="s">
        <v>93</v>
      </c>
      <c r="C60" s="170" t="e">
        <f>#REF!</f>
        <v>#REF!</v>
      </c>
      <c r="D60" s="162" t="e">
        <f>#REF!</f>
        <v>#REF!</v>
      </c>
      <c r="E60" s="162" t="e">
        <f>#REF!</f>
        <v>#REF!</v>
      </c>
      <c r="F60" s="172" t="e">
        <f>#REF!</f>
        <v>#REF!</v>
      </c>
      <c r="G60" s="172" t="e">
        <f>#REF!</f>
        <v>#REF!</v>
      </c>
    </row>
    <row r="61" spans="1:8" s="157" customFormat="1" ht="34.5" customHeight="1" x14ac:dyDescent="0.25">
      <c r="A61" s="168">
        <v>48</v>
      </c>
      <c r="B61" s="171" t="s">
        <v>94</v>
      </c>
      <c r="C61" s="170" t="e">
        <f>#REF!</f>
        <v>#REF!</v>
      </c>
      <c r="D61" s="162" t="e">
        <f>#REF!</f>
        <v>#REF!</v>
      </c>
      <c r="E61" s="162" t="e">
        <f>#REF!</f>
        <v>#REF!</v>
      </c>
      <c r="F61" s="172" t="e">
        <f>#REF!</f>
        <v>#REF!</v>
      </c>
      <c r="G61" s="172" t="e">
        <f>#REF!</f>
        <v>#REF!</v>
      </c>
    </row>
    <row r="62" spans="1:8" s="157" customFormat="1" ht="34.5" customHeight="1" x14ac:dyDescent="0.25">
      <c r="A62" s="168">
        <v>49</v>
      </c>
      <c r="B62" s="171" t="s">
        <v>95</v>
      </c>
      <c r="C62" s="170" t="e">
        <f>#REF!</f>
        <v>#REF!</v>
      </c>
      <c r="D62" s="162" t="e">
        <f>#REF!</f>
        <v>#REF!</v>
      </c>
      <c r="E62" s="162" t="e">
        <f>#REF!</f>
        <v>#REF!</v>
      </c>
      <c r="F62" s="172" t="e">
        <f>#REF!</f>
        <v>#REF!</v>
      </c>
      <c r="G62" s="172" t="e">
        <f>#REF!</f>
        <v>#REF!</v>
      </c>
    </row>
    <row r="63" spans="1:8" s="157" customFormat="1" ht="34.5" customHeight="1" x14ac:dyDescent="0.25">
      <c r="A63" s="168">
        <v>50</v>
      </c>
      <c r="B63" s="171" t="s">
        <v>96</v>
      </c>
      <c r="C63" s="170" t="e">
        <f>#REF!</f>
        <v>#REF!</v>
      </c>
      <c r="D63" s="162" t="e">
        <f>#REF!</f>
        <v>#REF!</v>
      </c>
      <c r="E63" s="162" t="e">
        <f>#REF!</f>
        <v>#REF!</v>
      </c>
      <c r="F63" s="172" t="e">
        <f>#REF!</f>
        <v>#REF!</v>
      </c>
      <c r="G63" s="172" t="e">
        <f>#REF!</f>
        <v>#REF!</v>
      </c>
    </row>
    <row r="64" spans="1:8" s="157" customFormat="1" ht="34.5" customHeight="1" x14ac:dyDescent="0.25">
      <c r="A64" s="168">
        <v>51</v>
      </c>
      <c r="B64" s="171" t="s">
        <v>97</v>
      </c>
      <c r="C64" s="170" t="e">
        <f>#REF!</f>
        <v>#REF!</v>
      </c>
      <c r="D64" s="162" t="e">
        <f>#REF!</f>
        <v>#REF!</v>
      </c>
      <c r="E64" s="162" t="e">
        <f>#REF!</f>
        <v>#REF!</v>
      </c>
      <c r="F64" s="172" t="e">
        <f>#REF!</f>
        <v>#REF!</v>
      </c>
      <c r="G64" s="172" t="e">
        <f>#REF!</f>
        <v>#REF!</v>
      </c>
    </row>
    <row r="65" spans="1:7" s="157" customFormat="1" ht="34.5" customHeight="1" x14ac:dyDescent="0.25">
      <c r="A65" s="168">
        <v>52</v>
      </c>
      <c r="B65" s="171" t="s">
        <v>145</v>
      </c>
      <c r="C65" s="170" t="e">
        <f>#REF!</f>
        <v>#REF!</v>
      </c>
      <c r="D65" s="162" t="e">
        <f>#REF!</f>
        <v>#REF!</v>
      </c>
      <c r="E65" s="162" t="e">
        <f>#REF!</f>
        <v>#REF!</v>
      </c>
      <c r="F65" s="172" t="e">
        <f>#REF!</f>
        <v>#REF!</v>
      </c>
      <c r="G65" s="172" t="e">
        <f>#REF!</f>
        <v>#REF!</v>
      </c>
    </row>
    <row r="66" spans="1:7" s="157" customFormat="1" ht="34.5" customHeight="1" x14ac:dyDescent="0.25">
      <c r="A66" s="168">
        <v>53</v>
      </c>
      <c r="B66" s="171" t="s">
        <v>144</v>
      </c>
      <c r="C66" s="170" t="e">
        <f>#REF!</f>
        <v>#REF!</v>
      </c>
      <c r="D66" s="162" t="e">
        <f>#REF!</f>
        <v>#REF!</v>
      </c>
      <c r="E66" s="162" t="e">
        <f>#REF!</f>
        <v>#REF!</v>
      </c>
      <c r="F66" s="172" t="e">
        <f>#REF!</f>
        <v>#REF!</v>
      </c>
      <c r="G66" s="172" t="e">
        <f>#REF!</f>
        <v>#REF!</v>
      </c>
    </row>
    <row r="67" spans="1:7" s="157" customFormat="1" ht="34.5" customHeight="1" x14ac:dyDescent="0.25">
      <c r="A67" s="168">
        <v>54</v>
      </c>
      <c r="B67" s="171" t="s">
        <v>98</v>
      </c>
      <c r="C67" s="170" t="e">
        <f>#REF!</f>
        <v>#REF!</v>
      </c>
      <c r="D67" s="162" t="e">
        <f>#REF!</f>
        <v>#REF!</v>
      </c>
      <c r="E67" s="162" t="e">
        <f>#REF!</f>
        <v>#REF!</v>
      </c>
      <c r="F67" s="172" t="e">
        <f>#REF!</f>
        <v>#REF!</v>
      </c>
      <c r="G67" s="172" t="e">
        <f>#REF!</f>
        <v>#REF!</v>
      </c>
    </row>
    <row r="68" spans="1:7" s="157" customFormat="1" ht="34.5" customHeight="1" x14ac:dyDescent="0.25">
      <c r="A68" s="168">
        <v>55</v>
      </c>
      <c r="B68" s="171" t="s">
        <v>143</v>
      </c>
      <c r="C68" s="170" t="e">
        <f>#REF!</f>
        <v>#REF!</v>
      </c>
      <c r="D68" s="162" t="e">
        <f>#REF!</f>
        <v>#REF!</v>
      </c>
      <c r="E68" s="162" t="e">
        <f>#REF!</f>
        <v>#REF!</v>
      </c>
      <c r="F68" s="172" t="e">
        <f>#REF!</f>
        <v>#REF!</v>
      </c>
      <c r="G68" s="172" t="e">
        <f>#REF!</f>
        <v>#REF!</v>
      </c>
    </row>
    <row r="69" spans="1:7" s="157" customFormat="1" ht="34.5" customHeight="1" x14ac:dyDescent="0.25">
      <c r="A69" s="168">
        <v>56</v>
      </c>
      <c r="B69" s="171" t="s">
        <v>142</v>
      </c>
      <c r="C69" s="170" t="e">
        <f>#REF!</f>
        <v>#REF!</v>
      </c>
      <c r="D69" s="162" t="e">
        <f>#REF!</f>
        <v>#REF!</v>
      </c>
      <c r="E69" s="162" t="e">
        <f>#REF!</f>
        <v>#REF!</v>
      </c>
      <c r="F69" s="172" t="e">
        <f>#REF!</f>
        <v>#REF!</v>
      </c>
      <c r="G69" s="172" t="e">
        <f>#REF!</f>
        <v>#REF!</v>
      </c>
    </row>
    <row r="70" spans="1:7" s="157" customFormat="1" ht="34.5" customHeight="1" x14ac:dyDescent="0.25">
      <c r="A70" s="168">
        <v>57</v>
      </c>
      <c r="B70" s="171" t="s">
        <v>141</v>
      </c>
      <c r="C70" s="170" t="e">
        <f>#REF!</f>
        <v>#REF!</v>
      </c>
      <c r="D70" s="162" t="e">
        <f>#REF!</f>
        <v>#REF!</v>
      </c>
      <c r="E70" s="162" t="e">
        <f>#REF!</f>
        <v>#REF!</v>
      </c>
      <c r="F70" s="172" t="e">
        <f>#REF!</f>
        <v>#REF!</v>
      </c>
      <c r="G70" s="172" t="e">
        <f>#REF!</f>
        <v>#REF!</v>
      </c>
    </row>
    <row r="71" spans="1:7" s="157" customFormat="1" ht="34.5" customHeight="1" x14ac:dyDescent="0.25">
      <c r="A71" s="168">
        <v>58</v>
      </c>
      <c r="B71" s="171" t="s">
        <v>140</v>
      </c>
      <c r="C71" s="170" t="e">
        <f>#REF!</f>
        <v>#REF!</v>
      </c>
      <c r="D71" s="162" t="e">
        <f>#REF!</f>
        <v>#REF!</v>
      </c>
      <c r="E71" s="162" t="e">
        <f>#REF!</f>
        <v>#REF!</v>
      </c>
      <c r="F71" s="172" t="e">
        <f>#REF!</f>
        <v>#REF!</v>
      </c>
      <c r="G71" s="172" t="e">
        <f>#REF!</f>
        <v>#REF!</v>
      </c>
    </row>
    <row r="72" spans="1:7" s="157" customFormat="1" ht="34.5" customHeight="1" x14ac:dyDescent="0.25">
      <c r="A72" s="168">
        <v>59</v>
      </c>
      <c r="B72" s="171" t="s">
        <v>139</v>
      </c>
      <c r="C72" s="170" t="e">
        <f>#REF!</f>
        <v>#REF!</v>
      </c>
      <c r="D72" s="162" t="e">
        <f>#REF!</f>
        <v>#REF!</v>
      </c>
      <c r="E72" s="162" t="e">
        <f>#REF!</f>
        <v>#REF!</v>
      </c>
      <c r="F72" s="172" t="e">
        <f>#REF!</f>
        <v>#REF!</v>
      </c>
      <c r="G72" s="172" t="e">
        <f>#REF!</f>
        <v>#REF!</v>
      </c>
    </row>
    <row r="73" spans="1:7" s="157" customFormat="1" ht="34.5" customHeight="1" x14ac:dyDescent="0.25">
      <c r="A73" s="168">
        <v>60</v>
      </c>
      <c r="B73" s="171" t="s">
        <v>138</v>
      </c>
      <c r="C73" s="170" t="e">
        <f>#REF!</f>
        <v>#REF!</v>
      </c>
      <c r="D73" s="162" t="e">
        <f>#REF!</f>
        <v>#REF!</v>
      </c>
      <c r="E73" s="162" t="e">
        <f>#REF!</f>
        <v>#REF!</v>
      </c>
      <c r="F73" s="172" t="e">
        <f>#REF!</f>
        <v>#REF!</v>
      </c>
      <c r="G73" s="172" t="e">
        <f>#REF!</f>
        <v>#REF!</v>
      </c>
    </row>
    <row r="74" spans="1:7" s="157" customFormat="1" ht="34.5" customHeight="1" x14ac:dyDescent="0.25">
      <c r="A74" s="168">
        <v>61</v>
      </c>
      <c r="B74" s="171" t="s">
        <v>137</v>
      </c>
      <c r="C74" s="170" t="e">
        <f>#REF!</f>
        <v>#REF!</v>
      </c>
      <c r="D74" s="162" t="e">
        <f>#REF!</f>
        <v>#REF!</v>
      </c>
      <c r="E74" s="162" t="e">
        <f>#REF!</f>
        <v>#REF!</v>
      </c>
      <c r="F74" s="172" t="e">
        <f>#REF!</f>
        <v>#REF!</v>
      </c>
      <c r="G74" s="172" t="e">
        <f>#REF!</f>
        <v>#REF!</v>
      </c>
    </row>
    <row r="75" spans="1:7" s="157" customFormat="1" ht="34.5" customHeight="1" x14ac:dyDescent="0.25">
      <c r="A75" s="168">
        <v>62</v>
      </c>
      <c r="B75" s="171" t="s">
        <v>136</v>
      </c>
      <c r="C75" s="170" t="e">
        <f>#REF!</f>
        <v>#REF!</v>
      </c>
      <c r="D75" s="162" t="e">
        <f>#REF!</f>
        <v>#REF!</v>
      </c>
      <c r="E75" s="162" t="e">
        <f>#REF!</f>
        <v>#REF!</v>
      </c>
      <c r="F75" s="172" t="e">
        <f>#REF!</f>
        <v>#REF!</v>
      </c>
      <c r="G75" s="172" t="e">
        <f>#REF!</f>
        <v>#REF!</v>
      </c>
    </row>
    <row r="76" spans="1:7" s="157" customFormat="1" ht="34.5" customHeight="1" x14ac:dyDescent="0.25">
      <c r="A76" s="168">
        <v>63</v>
      </c>
      <c r="B76" s="171" t="s">
        <v>135</v>
      </c>
      <c r="C76" s="170" t="e">
        <f>#REF!</f>
        <v>#REF!</v>
      </c>
      <c r="D76" s="162" t="e">
        <f>#REF!</f>
        <v>#REF!</v>
      </c>
      <c r="E76" s="162" t="e">
        <f>#REF!</f>
        <v>#REF!</v>
      </c>
      <c r="F76" s="172" t="e">
        <f>#REF!</f>
        <v>#REF!</v>
      </c>
      <c r="G76" s="172" t="e">
        <f>#REF!</f>
        <v>#REF!</v>
      </c>
    </row>
    <row r="77" spans="1:7" s="157" customFormat="1" ht="34.5" customHeight="1" x14ac:dyDescent="0.25">
      <c r="A77" s="168">
        <v>64</v>
      </c>
      <c r="B77" s="171" t="s">
        <v>126</v>
      </c>
      <c r="C77" s="170" t="e">
        <f>#REF!</f>
        <v>#REF!</v>
      </c>
      <c r="D77" s="162" t="e">
        <f>#REF!</f>
        <v>#REF!</v>
      </c>
      <c r="E77" s="162" t="e">
        <f>#REF!</f>
        <v>#REF!</v>
      </c>
      <c r="F77" s="172" t="e">
        <f>#REF!</f>
        <v>#REF!</v>
      </c>
      <c r="G77" s="172" t="e">
        <f>#REF!</f>
        <v>#REF!</v>
      </c>
    </row>
    <row r="78" spans="1:7" s="157" customFormat="1" ht="34.5" customHeight="1" x14ac:dyDescent="0.25">
      <c r="A78" s="168">
        <v>65</v>
      </c>
      <c r="B78" s="171" t="s">
        <v>127</v>
      </c>
      <c r="C78" s="170" t="e">
        <f>#REF!</f>
        <v>#REF!</v>
      </c>
      <c r="D78" s="162" t="e">
        <f>#REF!</f>
        <v>#REF!</v>
      </c>
      <c r="E78" s="162" t="e">
        <f>#REF!</f>
        <v>#REF!</v>
      </c>
      <c r="F78" s="172" t="e">
        <f>#REF!</f>
        <v>#REF!</v>
      </c>
      <c r="G78" s="172" t="e">
        <f>#REF!</f>
        <v>#REF!</v>
      </c>
    </row>
    <row r="79" spans="1:7" s="157" customFormat="1" ht="34.5" customHeight="1" x14ac:dyDescent="0.25">
      <c r="A79" s="168">
        <v>66</v>
      </c>
      <c r="B79" s="171" t="s">
        <v>128</v>
      </c>
      <c r="C79" s="170" t="e">
        <f>#REF!</f>
        <v>#REF!</v>
      </c>
      <c r="D79" s="162" t="e">
        <f>#REF!</f>
        <v>#REF!</v>
      </c>
      <c r="E79" s="162" t="e">
        <f>#REF!</f>
        <v>#REF!</v>
      </c>
      <c r="F79" s="172" t="e">
        <f>#REF!</f>
        <v>#REF!</v>
      </c>
      <c r="G79" s="172" t="e">
        <f>#REF!</f>
        <v>#REF!</v>
      </c>
    </row>
    <row r="80" spans="1:7" s="157" customFormat="1" ht="34.5" customHeight="1" x14ac:dyDescent="0.25">
      <c r="A80" s="168">
        <v>67</v>
      </c>
      <c r="B80" s="171" t="s">
        <v>129</v>
      </c>
      <c r="C80" s="170" t="e">
        <f>#REF!</f>
        <v>#REF!</v>
      </c>
      <c r="D80" s="162" t="e">
        <f>#REF!</f>
        <v>#REF!</v>
      </c>
      <c r="E80" s="162" t="e">
        <f>#REF!</f>
        <v>#REF!</v>
      </c>
      <c r="F80" s="172" t="e">
        <f>#REF!</f>
        <v>#REF!</v>
      </c>
      <c r="G80" s="172" t="e">
        <f>#REF!</f>
        <v>#REF!</v>
      </c>
    </row>
    <row r="81" spans="1:7" s="157" customFormat="1" ht="34.5" customHeight="1" x14ac:dyDescent="0.25">
      <c r="A81" s="168">
        <v>68</v>
      </c>
      <c r="B81" s="171" t="s">
        <v>130</v>
      </c>
      <c r="C81" s="170" t="e">
        <f>#REF!</f>
        <v>#REF!</v>
      </c>
      <c r="D81" s="162" t="e">
        <f>#REF!</f>
        <v>#REF!</v>
      </c>
      <c r="E81" s="162" t="e">
        <f>#REF!</f>
        <v>#REF!</v>
      </c>
      <c r="F81" s="172" t="e">
        <f>#REF!</f>
        <v>#REF!</v>
      </c>
      <c r="G81" s="172" t="e">
        <f>#REF!</f>
        <v>#REF!</v>
      </c>
    </row>
    <row r="82" spans="1:7" s="157" customFormat="1" ht="34.5" customHeight="1" x14ac:dyDescent="0.25">
      <c r="A82" s="168">
        <v>69</v>
      </c>
      <c r="B82" s="171" t="s">
        <v>131</v>
      </c>
      <c r="C82" s="170" t="e">
        <f>#REF!</f>
        <v>#REF!</v>
      </c>
      <c r="D82" s="162" t="e">
        <f>#REF!</f>
        <v>#REF!</v>
      </c>
      <c r="E82" s="162" t="e">
        <f>#REF!</f>
        <v>#REF!</v>
      </c>
      <c r="F82" s="172" t="e">
        <f>#REF!</f>
        <v>#REF!</v>
      </c>
      <c r="G82" s="172" t="e">
        <f>#REF!</f>
        <v>#REF!</v>
      </c>
    </row>
    <row r="83" spans="1:7" s="157" customFormat="1" ht="34.5" customHeight="1" x14ac:dyDescent="0.25">
      <c r="A83" s="168">
        <v>70</v>
      </c>
      <c r="B83" s="171" t="s">
        <v>132</v>
      </c>
      <c r="C83" s="170" t="e">
        <f>#REF!</f>
        <v>#REF!</v>
      </c>
      <c r="D83" s="162" t="e">
        <f>#REF!</f>
        <v>#REF!</v>
      </c>
      <c r="E83" s="162" t="e">
        <f>#REF!</f>
        <v>#REF!</v>
      </c>
      <c r="F83" s="172" t="e">
        <f>#REF!</f>
        <v>#REF!</v>
      </c>
      <c r="G83" s="172" t="e">
        <f>#REF!</f>
        <v>#REF!</v>
      </c>
    </row>
    <row r="84" spans="1:7" s="157" customFormat="1" ht="34.5" customHeight="1" x14ac:dyDescent="0.25">
      <c r="A84" s="168">
        <v>71</v>
      </c>
      <c r="B84" s="171" t="s">
        <v>133</v>
      </c>
      <c r="C84" s="170" t="e">
        <f>#REF!</f>
        <v>#REF!</v>
      </c>
      <c r="D84" s="162" t="e">
        <f>#REF!</f>
        <v>#REF!</v>
      </c>
      <c r="E84" s="162" t="e">
        <f>#REF!</f>
        <v>#REF!</v>
      </c>
      <c r="F84" s="172" t="e">
        <f>#REF!</f>
        <v>#REF!</v>
      </c>
      <c r="G84" s="172" t="e">
        <f>#REF!</f>
        <v>#REF!</v>
      </c>
    </row>
    <row r="85" spans="1:7" s="157" customFormat="1" ht="34.5" customHeight="1" x14ac:dyDescent="0.25">
      <c r="A85" s="168">
        <v>72</v>
      </c>
      <c r="B85" s="171" t="s">
        <v>134</v>
      </c>
      <c r="C85" s="170" t="e">
        <f>#REF!</f>
        <v>#REF!</v>
      </c>
      <c r="D85" s="162" t="e">
        <f>#REF!</f>
        <v>#REF!</v>
      </c>
      <c r="E85" s="162" t="e">
        <f>#REF!</f>
        <v>#REF!</v>
      </c>
      <c r="F85" s="172" t="e">
        <f>#REF!</f>
        <v>#REF!</v>
      </c>
      <c r="G85" s="172" t="e">
        <f>#REF!</f>
        <v>#REF!</v>
      </c>
    </row>
    <row r="86" spans="1:7" s="157" customFormat="1" ht="34.5" customHeight="1" x14ac:dyDescent="0.25">
      <c r="A86" s="168">
        <v>73</v>
      </c>
      <c r="B86" s="171" t="s">
        <v>121</v>
      </c>
      <c r="C86" s="170" t="e">
        <f>#REF!</f>
        <v>#REF!</v>
      </c>
      <c r="D86" s="162" t="e">
        <f>#REF!</f>
        <v>#REF!</v>
      </c>
      <c r="E86" s="162" t="e">
        <f>#REF!</f>
        <v>#REF!</v>
      </c>
      <c r="F86" s="172" t="e">
        <f>#REF!</f>
        <v>#REF!</v>
      </c>
      <c r="G86" s="172" t="e">
        <f>#REF!</f>
        <v>#REF!</v>
      </c>
    </row>
    <row r="87" spans="1:7" s="157" customFormat="1" ht="34.5" customHeight="1" x14ac:dyDescent="0.25">
      <c r="A87" s="168">
        <v>74</v>
      </c>
      <c r="B87" s="171" t="s">
        <v>122</v>
      </c>
      <c r="C87" s="170" t="e">
        <f>#REF!</f>
        <v>#REF!</v>
      </c>
      <c r="D87" s="162" t="e">
        <f>#REF!</f>
        <v>#REF!</v>
      </c>
      <c r="E87" s="162" t="e">
        <f>#REF!</f>
        <v>#REF!</v>
      </c>
      <c r="F87" s="172" t="e">
        <f>#REF!</f>
        <v>#REF!</v>
      </c>
      <c r="G87" s="172" t="e">
        <f>#REF!</f>
        <v>#REF!</v>
      </c>
    </row>
    <row r="88" spans="1:7" s="157" customFormat="1" ht="34.5" customHeight="1" x14ac:dyDescent="0.25">
      <c r="A88" s="168">
        <v>75</v>
      </c>
      <c r="B88" s="171" t="s">
        <v>123</v>
      </c>
      <c r="C88" s="170" t="e">
        <f>#REF!</f>
        <v>#REF!</v>
      </c>
      <c r="D88" s="162" t="e">
        <f>#REF!</f>
        <v>#REF!</v>
      </c>
      <c r="E88" s="162" t="e">
        <f>#REF!</f>
        <v>#REF!</v>
      </c>
      <c r="F88" s="172" t="e">
        <f>#REF!</f>
        <v>#REF!</v>
      </c>
      <c r="G88" s="172" t="e">
        <f>#REF!</f>
        <v>#REF!</v>
      </c>
    </row>
    <row r="89" spans="1:7" s="157" customFormat="1" ht="34.5" customHeight="1" x14ac:dyDescent="0.25">
      <c r="A89" s="168">
        <v>76</v>
      </c>
      <c r="B89" s="171" t="s">
        <v>124</v>
      </c>
      <c r="C89" s="170" t="e">
        <f>#REF!</f>
        <v>#REF!</v>
      </c>
      <c r="D89" s="162" t="e">
        <f>#REF!</f>
        <v>#REF!</v>
      </c>
      <c r="E89" s="162" t="e">
        <f>#REF!</f>
        <v>#REF!</v>
      </c>
      <c r="F89" s="172" t="e">
        <f>#REF!</f>
        <v>#REF!</v>
      </c>
      <c r="G89" s="172" t="e">
        <f>#REF!</f>
        <v>#REF!</v>
      </c>
    </row>
    <row r="90" spans="1:7" s="157" customFormat="1" ht="34.5" customHeight="1" x14ac:dyDescent="0.25">
      <c r="A90" s="168">
        <v>77</v>
      </c>
      <c r="B90" s="171" t="s">
        <v>125</v>
      </c>
      <c r="C90" s="170" t="e">
        <f>#REF!</f>
        <v>#REF!</v>
      </c>
      <c r="D90" s="162" t="e">
        <f>#REF!</f>
        <v>#REF!</v>
      </c>
      <c r="E90" s="162" t="e">
        <f>#REF!</f>
        <v>#REF!</v>
      </c>
      <c r="F90" s="172" t="e">
        <f>#REF!</f>
        <v>#REF!</v>
      </c>
      <c r="G90" s="172" t="e">
        <f>#REF!</f>
        <v>#REF!</v>
      </c>
    </row>
    <row r="91" spans="1:7" s="157" customFormat="1" ht="34.5" customHeight="1" x14ac:dyDescent="0.25">
      <c r="A91" s="168">
        <v>78</v>
      </c>
      <c r="B91" s="171" t="s">
        <v>120</v>
      </c>
      <c r="C91" s="170" t="e">
        <f>#REF!</f>
        <v>#REF!</v>
      </c>
      <c r="D91" s="162" t="e">
        <f>#REF!</f>
        <v>#REF!</v>
      </c>
      <c r="E91" s="162" t="e">
        <f>#REF!</f>
        <v>#REF!</v>
      </c>
      <c r="F91" s="172" t="e">
        <f>#REF!</f>
        <v>#REF!</v>
      </c>
      <c r="G91" s="172" t="e">
        <f>#REF!</f>
        <v>#REF!</v>
      </c>
    </row>
    <row r="92" spans="1:7" s="157" customFormat="1" ht="34.5" customHeight="1" x14ac:dyDescent="0.25">
      <c r="A92" s="168">
        <v>79</v>
      </c>
      <c r="B92" s="171" t="s">
        <v>119</v>
      </c>
      <c r="C92" s="170" t="e">
        <f>#REF!</f>
        <v>#REF!</v>
      </c>
      <c r="D92" s="162" t="e">
        <f>#REF!</f>
        <v>#REF!</v>
      </c>
      <c r="E92" s="162" t="e">
        <f>#REF!</f>
        <v>#REF!</v>
      </c>
      <c r="F92" s="172" t="e">
        <f>#REF!</f>
        <v>#REF!</v>
      </c>
      <c r="G92" s="172" t="e">
        <f>#REF!</f>
        <v>#REF!</v>
      </c>
    </row>
    <row r="93" spans="1:7" s="157" customFormat="1" ht="34.5" customHeight="1" x14ac:dyDescent="0.25">
      <c r="A93" s="168">
        <v>80</v>
      </c>
      <c r="B93" s="171" t="s">
        <v>118</v>
      </c>
      <c r="C93" s="170" t="e">
        <f>#REF!</f>
        <v>#REF!</v>
      </c>
      <c r="D93" s="162" t="e">
        <f>#REF!</f>
        <v>#REF!</v>
      </c>
      <c r="E93" s="162" t="e">
        <f>#REF!</f>
        <v>#REF!</v>
      </c>
      <c r="F93" s="172" t="e">
        <f>#REF!</f>
        <v>#REF!</v>
      </c>
      <c r="G93" s="172" t="e">
        <f>#REF!</f>
        <v>#REF!</v>
      </c>
    </row>
    <row r="94" spans="1:7" s="157" customFormat="1" ht="34.5" customHeight="1" x14ac:dyDescent="0.25">
      <c r="A94" s="168">
        <v>81</v>
      </c>
      <c r="B94" s="171" t="s">
        <v>117</v>
      </c>
      <c r="C94" s="170" t="e">
        <f>#REF!</f>
        <v>#REF!</v>
      </c>
      <c r="D94" s="162" t="e">
        <f>#REF!</f>
        <v>#REF!</v>
      </c>
      <c r="E94" s="162" t="e">
        <f>#REF!</f>
        <v>#REF!</v>
      </c>
      <c r="F94" s="172" t="e">
        <f>#REF!</f>
        <v>#REF!</v>
      </c>
      <c r="G94" s="172" t="e">
        <f>#REF!</f>
        <v>#REF!</v>
      </c>
    </row>
    <row r="95" spans="1:7" s="157" customFormat="1" ht="34.5" customHeight="1" x14ac:dyDescent="0.25">
      <c r="A95" s="168">
        <v>82</v>
      </c>
      <c r="B95" s="171" t="s">
        <v>116</v>
      </c>
      <c r="C95" s="170" t="e">
        <f>#REF!</f>
        <v>#REF!</v>
      </c>
      <c r="D95" s="162" t="e">
        <f>#REF!</f>
        <v>#REF!</v>
      </c>
      <c r="E95" s="162" t="e">
        <f>#REF!</f>
        <v>#REF!</v>
      </c>
      <c r="F95" s="172" t="e">
        <f>#REF!</f>
        <v>#REF!</v>
      </c>
      <c r="G95" s="172" t="e">
        <f>#REF!</f>
        <v>#REF!</v>
      </c>
    </row>
    <row r="96" spans="1:7" s="157" customFormat="1" ht="34.5" customHeight="1" x14ac:dyDescent="0.25">
      <c r="A96" s="168">
        <v>83</v>
      </c>
      <c r="B96" s="171" t="s">
        <v>115</v>
      </c>
      <c r="C96" s="170" t="e">
        <f>#REF!</f>
        <v>#REF!</v>
      </c>
      <c r="D96" s="162" t="e">
        <f>#REF!</f>
        <v>#REF!</v>
      </c>
      <c r="E96" s="162" t="e">
        <f>#REF!</f>
        <v>#REF!</v>
      </c>
      <c r="F96" s="172" t="e">
        <f>#REF!</f>
        <v>#REF!</v>
      </c>
      <c r="G96" s="172" t="e">
        <f>#REF!</f>
        <v>#REF!</v>
      </c>
    </row>
    <row r="97" spans="1:7" s="157" customFormat="1" ht="34.5" customHeight="1" x14ac:dyDescent="0.25">
      <c r="A97" s="168">
        <v>84</v>
      </c>
      <c r="B97" s="171" t="s">
        <v>114</v>
      </c>
      <c r="C97" s="170" t="e">
        <f>#REF!</f>
        <v>#REF!</v>
      </c>
      <c r="D97" s="162" t="e">
        <f>#REF!</f>
        <v>#REF!</v>
      </c>
      <c r="E97" s="162" t="e">
        <f>#REF!</f>
        <v>#REF!</v>
      </c>
      <c r="F97" s="172" t="e">
        <f>#REF!</f>
        <v>#REF!</v>
      </c>
      <c r="G97" s="172" t="e">
        <f>#REF!</f>
        <v>#REF!</v>
      </c>
    </row>
    <row r="98" spans="1:7" s="157" customFormat="1" ht="34.5" customHeight="1" x14ac:dyDescent="0.25">
      <c r="A98" s="168">
        <v>85</v>
      </c>
      <c r="B98" s="171" t="s">
        <v>113</v>
      </c>
      <c r="C98" s="170" t="e">
        <f>#REF!</f>
        <v>#REF!</v>
      </c>
      <c r="D98" s="162" t="e">
        <f>#REF!</f>
        <v>#REF!</v>
      </c>
      <c r="E98" s="162" t="e">
        <f>#REF!</f>
        <v>#REF!</v>
      </c>
      <c r="F98" s="172" t="e">
        <f>#REF!</f>
        <v>#REF!</v>
      </c>
      <c r="G98" s="172" t="e">
        <f>#REF!</f>
        <v>#REF!</v>
      </c>
    </row>
    <row r="99" spans="1:7" s="157" customFormat="1" ht="34.5" customHeight="1" x14ac:dyDescent="0.25">
      <c r="A99" s="168">
        <v>86</v>
      </c>
      <c r="B99" s="171" t="s">
        <v>112</v>
      </c>
      <c r="C99" s="170" t="e">
        <f>#REF!</f>
        <v>#REF!</v>
      </c>
      <c r="D99" s="162" t="e">
        <f>#REF!</f>
        <v>#REF!</v>
      </c>
      <c r="E99" s="162" t="e">
        <f>#REF!</f>
        <v>#REF!</v>
      </c>
      <c r="F99" s="172" t="e">
        <f>#REF!</f>
        <v>#REF!</v>
      </c>
      <c r="G99" s="172" t="e">
        <f>#REF!</f>
        <v>#REF!</v>
      </c>
    </row>
    <row r="100" spans="1:7" s="157" customFormat="1" ht="34.5" customHeight="1" x14ac:dyDescent="0.25">
      <c r="A100" s="168">
        <v>87</v>
      </c>
      <c r="B100" s="171" t="s">
        <v>111</v>
      </c>
      <c r="C100" s="170" t="e">
        <f>#REF!</f>
        <v>#REF!</v>
      </c>
      <c r="D100" s="162" t="e">
        <f>#REF!</f>
        <v>#REF!</v>
      </c>
      <c r="E100" s="162" t="e">
        <f>#REF!</f>
        <v>#REF!</v>
      </c>
      <c r="F100" s="172" t="e">
        <f>#REF!</f>
        <v>#REF!</v>
      </c>
      <c r="G100" s="172" t="e">
        <f>#REF!</f>
        <v>#REF!</v>
      </c>
    </row>
    <row r="101" spans="1:7" s="157" customFormat="1" ht="34.5" customHeight="1" x14ac:dyDescent="0.25">
      <c r="A101" s="168">
        <v>88</v>
      </c>
      <c r="B101" s="171" t="s">
        <v>110</v>
      </c>
      <c r="C101" s="170" t="e">
        <f>#REF!</f>
        <v>#REF!</v>
      </c>
      <c r="D101" s="162" t="e">
        <f>#REF!</f>
        <v>#REF!</v>
      </c>
      <c r="E101" s="162" t="e">
        <f>#REF!</f>
        <v>#REF!</v>
      </c>
      <c r="F101" s="172" t="e">
        <f>#REF!</f>
        <v>#REF!</v>
      </c>
      <c r="G101" s="172" t="e">
        <f>#REF!</f>
        <v>#REF!</v>
      </c>
    </row>
    <row r="102" spans="1:7" s="157" customFormat="1" ht="34.5" customHeight="1" x14ac:dyDescent="0.25">
      <c r="A102" s="168">
        <v>89</v>
      </c>
      <c r="B102" s="171" t="s">
        <v>109</v>
      </c>
      <c r="C102" s="170" t="e">
        <f>#REF!</f>
        <v>#REF!</v>
      </c>
      <c r="D102" s="162" t="e">
        <f>#REF!</f>
        <v>#REF!</v>
      </c>
      <c r="E102" s="162" t="e">
        <f>#REF!</f>
        <v>#REF!</v>
      </c>
      <c r="F102" s="172" t="e">
        <f>#REF!</f>
        <v>#REF!</v>
      </c>
      <c r="G102" s="172" t="e">
        <f>#REF!</f>
        <v>#REF!</v>
      </c>
    </row>
    <row r="103" spans="1:7" s="157" customFormat="1" ht="34.5" customHeight="1" x14ac:dyDescent="0.25">
      <c r="A103" s="168">
        <v>90</v>
      </c>
      <c r="B103" s="171" t="s">
        <v>108</v>
      </c>
      <c r="C103" s="170" t="e">
        <f>#REF!</f>
        <v>#REF!</v>
      </c>
      <c r="D103" s="162" t="e">
        <f>#REF!</f>
        <v>#REF!</v>
      </c>
      <c r="E103" s="162" t="e">
        <f>#REF!</f>
        <v>#REF!</v>
      </c>
      <c r="F103" s="172" t="e">
        <f>#REF!</f>
        <v>#REF!</v>
      </c>
      <c r="G103" s="172" t="e">
        <f>#REF!</f>
        <v>#REF!</v>
      </c>
    </row>
    <row r="104" spans="1:7" s="157" customFormat="1" ht="34.5" customHeight="1" x14ac:dyDescent="0.25">
      <c r="A104" s="168">
        <v>91</v>
      </c>
      <c r="B104" s="171" t="s">
        <v>107</v>
      </c>
      <c r="C104" s="170" t="e">
        <f>#REF!</f>
        <v>#REF!</v>
      </c>
      <c r="D104" s="162" t="e">
        <f>#REF!</f>
        <v>#REF!</v>
      </c>
      <c r="E104" s="162" t="e">
        <f>#REF!</f>
        <v>#REF!</v>
      </c>
      <c r="F104" s="172" t="e">
        <f>#REF!</f>
        <v>#REF!</v>
      </c>
      <c r="G104" s="172" t="e">
        <f>#REF!</f>
        <v>#REF!</v>
      </c>
    </row>
    <row r="105" spans="1:7" s="157" customFormat="1" ht="34.5" customHeight="1" x14ac:dyDescent="0.25">
      <c r="A105" s="168">
        <v>92</v>
      </c>
      <c r="B105" s="171" t="s">
        <v>106</v>
      </c>
      <c r="C105" s="170" t="e">
        <f>#REF!</f>
        <v>#REF!</v>
      </c>
      <c r="D105" s="162" t="e">
        <f>#REF!</f>
        <v>#REF!</v>
      </c>
      <c r="E105" s="162" t="e">
        <f>#REF!</f>
        <v>#REF!</v>
      </c>
      <c r="F105" s="172" t="e">
        <f>#REF!</f>
        <v>#REF!</v>
      </c>
      <c r="G105" s="172" t="e">
        <f>#REF!</f>
        <v>#REF!</v>
      </c>
    </row>
    <row r="106" spans="1:7" s="157" customFormat="1" ht="34.5" customHeight="1" x14ac:dyDescent="0.25">
      <c r="A106" s="168">
        <v>93</v>
      </c>
      <c r="B106" s="171" t="s">
        <v>105</v>
      </c>
      <c r="C106" s="170" t="e">
        <f>#REF!</f>
        <v>#REF!</v>
      </c>
      <c r="D106" s="162" t="e">
        <f>#REF!</f>
        <v>#REF!</v>
      </c>
      <c r="E106" s="162" t="e">
        <f>#REF!</f>
        <v>#REF!</v>
      </c>
      <c r="F106" s="172" t="e">
        <f>#REF!</f>
        <v>#REF!</v>
      </c>
      <c r="G106" s="172" t="e">
        <f>#REF!</f>
        <v>#REF!</v>
      </c>
    </row>
    <row r="107" spans="1:7" s="157" customFormat="1" ht="34.5" customHeight="1" x14ac:dyDescent="0.25">
      <c r="A107" s="168">
        <v>94</v>
      </c>
      <c r="B107" s="171" t="s">
        <v>104</v>
      </c>
      <c r="C107" s="170" t="e">
        <f>#REF!</f>
        <v>#REF!</v>
      </c>
      <c r="D107" s="162" t="e">
        <f>#REF!</f>
        <v>#REF!</v>
      </c>
      <c r="E107" s="162" t="e">
        <f>#REF!</f>
        <v>#REF!</v>
      </c>
      <c r="F107" s="172" t="e">
        <f>#REF!</f>
        <v>#REF!</v>
      </c>
      <c r="G107" s="172" t="e">
        <f>#REF!</f>
        <v>#REF!</v>
      </c>
    </row>
    <row r="108" spans="1:7" s="157" customFormat="1" ht="34.5" customHeight="1" x14ac:dyDescent="0.25">
      <c r="A108" s="168">
        <v>95</v>
      </c>
      <c r="B108" s="171" t="s">
        <v>103</v>
      </c>
      <c r="C108" s="170" t="e">
        <f>#REF!</f>
        <v>#REF!</v>
      </c>
      <c r="D108" s="162" t="e">
        <f>#REF!</f>
        <v>#REF!</v>
      </c>
      <c r="E108" s="162" t="e">
        <f>#REF!</f>
        <v>#REF!</v>
      </c>
      <c r="F108" s="172" t="e">
        <f>#REF!</f>
        <v>#REF!</v>
      </c>
      <c r="G108" s="172" t="e">
        <f>#REF!</f>
        <v>#REF!</v>
      </c>
    </row>
    <row r="109" spans="1:7" s="157" customFormat="1" ht="34.5" customHeight="1" x14ac:dyDescent="0.25">
      <c r="A109" s="168">
        <v>96</v>
      </c>
      <c r="B109" s="171" t="s">
        <v>102</v>
      </c>
      <c r="C109" s="170" t="e">
        <f>#REF!</f>
        <v>#REF!</v>
      </c>
      <c r="D109" s="162" t="e">
        <f>#REF!</f>
        <v>#REF!</v>
      </c>
      <c r="E109" s="162" t="e">
        <f>#REF!</f>
        <v>#REF!</v>
      </c>
      <c r="F109" s="172" t="e">
        <f>#REF!</f>
        <v>#REF!</v>
      </c>
      <c r="G109" s="172" t="e">
        <f>#REF!</f>
        <v>#REF!</v>
      </c>
    </row>
    <row r="110" spans="1:7" s="157" customFormat="1" ht="34.5" customHeight="1" x14ac:dyDescent="0.25">
      <c r="A110" s="168">
        <v>97</v>
      </c>
      <c r="B110" s="171" t="s">
        <v>101</v>
      </c>
      <c r="C110" s="170" t="e">
        <f>#REF!</f>
        <v>#REF!</v>
      </c>
      <c r="D110" s="162" t="e">
        <f>#REF!</f>
        <v>#REF!</v>
      </c>
      <c r="E110" s="162" t="e">
        <f>#REF!</f>
        <v>#REF!</v>
      </c>
      <c r="F110" s="172" t="e">
        <f>#REF!</f>
        <v>#REF!</v>
      </c>
      <c r="G110" s="172" t="e">
        <f>#REF!</f>
        <v>#REF!</v>
      </c>
    </row>
    <row r="111" spans="1:7" s="157" customFormat="1" ht="34.5" customHeight="1" x14ac:dyDescent="0.25">
      <c r="A111" s="168">
        <v>98</v>
      </c>
      <c r="B111" s="171" t="s">
        <v>100</v>
      </c>
      <c r="C111" s="170" t="e">
        <f>#REF!</f>
        <v>#REF!</v>
      </c>
      <c r="D111" s="162" t="e">
        <f>#REF!</f>
        <v>#REF!</v>
      </c>
      <c r="E111" s="162" t="e">
        <f>#REF!</f>
        <v>#REF!</v>
      </c>
      <c r="F111" s="172" t="e">
        <f>#REF!</f>
        <v>#REF!</v>
      </c>
      <c r="G111" s="172" t="e">
        <f>#REF!</f>
        <v>#REF!</v>
      </c>
    </row>
    <row r="112" spans="1:7" s="157" customFormat="1" ht="34.5" customHeight="1" x14ac:dyDescent="0.25">
      <c r="A112" s="176">
        <v>99</v>
      </c>
      <c r="B112" s="177" t="s">
        <v>99</v>
      </c>
      <c r="C112" s="178" t="e">
        <f>#REF!</f>
        <v>#REF!</v>
      </c>
      <c r="D112" s="163" t="e">
        <f>#REF!</f>
        <v>#REF!</v>
      </c>
      <c r="E112" s="163" t="e">
        <f>#REF!</f>
        <v>#REF!</v>
      </c>
      <c r="F112" s="179" t="e">
        <f>#REF!</f>
        <v>#REF!</v>
      </c>
      <c r="G112" s="179" t="e">
        <f>#REF!</f>
        <v>#REF!</v>
      </c>
    </row>
  </sheetData>
  <mergeCells count="9">
    <mergeCell ref="A2:G2"/>
    <mergeCell ref="A1:B1"/>
    <mergeCell ref="A5:A6"/>
    <mergeCell ref="B5:B6"/>
    <mergeCell ref="C5:D5"/>
    <mergeCell ref="E5:E6"/>
    <mergeCell ref="F5:G5"/>
    <mergeCell ref="A4:G4"/>
    <mergeCell ref="A3:G3"/>
  </mergeCells>
  <pageMargins left="0.5" right="0.33" top="0.48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Thôn bị mất ĐBKK</vt:lpstr>
      <vt:lpstr>Mẫu 5 xã I, II, III (2)</vt:lpstr>
      <vt:lpstr>DT</vt:lpstr>
      <vt:lpstr>Mẫu số 7 xã III, II, I</vt:lpstr>
      <vt:lpstr>DT!Print_Area</vt:lpstr>
      <vt:lpstr>'Mẫu số 7 xã III, II, I'!Print_Area</vt:lpstr>
      <vt:lpstr>'Thôn bị mất ĐBKK'!Print_Area</vt:lpstr>
      <vt:lpstr>DT!Print_Titles</vt:lpstr>
      <vt:lpstr>'Mẫu số 7 xã III, II, I'!Print_Titles</vt:lpstr>
      <vt:lpstr>'Thôn bị mất ĐBKK'!Print_Titles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 SON PC</dc:creator>
  <cp:lastModifiedBy>John Scott</cp:lastModifiedBy>
  <cp:lastPrinted>2025-12-30T10:14:59Z</cp:lastPrinted>
  <dcterms:created xsi:type="dcterms:W3CDTF">2020-11-30T08:34:51Z</dcterms:created>
  <dcterms:modified xsi:type="dcterms:W3CDTF">2026-03-12T02:51:45Z</dcterms:modified>
</cp:coreProperties>
</file>